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CC3B" lockStructure="1" lockWindows="1"/>
  <bookViews>
    <workbookView xWindow="75" yWindow="-195" windowWidth="17235" windowHeight="8220" firstSheet="3" activeTab="4"/>
  </bookViews>
  <sheets>
    <sheet name="Basic Data" sheetId="1" r:id="rId1"/>
    <sheet name="No Alternate" sheetId="16" r:id="rId2"/>
    <sheet name="Actuals as of April 2015" sheetId="18" r:id="rId3"/>
    <sheet name="Starting Revenue &amp; Expenses" sheetId="19" r:id="rId4"/>
    <sheet name="Predicted Revenue &amp; Expenses" sheetId="20" r:id="rId5"/>
    <sheet name="CHANGE LOG" sheetId="21" r:id="rId6"/>
  </sheets>
  <definedNames>
    <definedName name="_xlnm.Print_Area" localSheetId="1">'No Alternate'!$A$1:$AH$56</definedName>
    <definedName name="_xlnm.Print_Titles" localSheetId="2">'Actuals as of April 2015'!$3:$3</definedName>
    <definedName name="_xlnm.Print_Titles" localSheetId="1">'No Alternate'!$A:$A</definedName>
    <definedName name="_xlnm.Print_Titles" localSheetId="4">'Predicted Revenue &amp; Expenses'!$A:$A</definedName>
  </definedNames>
  <calcPr calcId="152511"/>
</workbook>
</file>

<file path=xl/calcChain.xml><?xml version="1.0" encoding="utf-8"?>
<calcChain xmlns="http://schemas.openxmlformats.org/spreadsheetml/2006/main">
  <c r="N102" i="20" l="1"/>
  <c r="N101" i="20"/>
  <c r="N100" i="20"/>
  <c r="N99" i="20"/>
  <c r="N104" i="20" s="1"/>
  <c r="N105" i="20" s="1"/>
  <c r="N106" i="20" s="1"/>
  <c r="N94" i="20"/>
  <c r="N91" i="20"/>
  <c r="M102" i="20"/>
  <c r="M101" i="20"/>
  <c r="M100" i="20"/>
  <c r="M99" i="20"/>
  <c r="M104" i="20" s="1"/>
  <c r="M105" i="20" s="1"/>
  <c r="M106" i="20" s="1"/>
  <c r="M94" i="20"/>
  <c r="M91" i="20"/>
  <c r="N107" i="20" l="1"/>
  <c r="M107" i="20"/>
  <c r="L102" i="20"/>
  <c r="L101" i="20"/>
  <c r="L100" i="20"/>
  <c r="L99" i="20"/>
  <c r="L94" i="20"/>
  <c r="L91" i="20"/>
  <c r="K102" i="20"/>
  <c r="J102" i="20"/>
  <c r="I102" i="20"/>
  <c r="H102" i="20"/>
  <c r="K101" i="20"/>
  <c r="J101" i="20"/>
  <c r="I101" i="20"/>
  <c r="H101" i="20"/>
  <c r="K100" i="20"/>
  <c r="J100" i="20"/>
  <c r="I100" i="20"/>
  <c r="H100" i="20"/>
  <c r="K99" i="20"/>
  <c r="K104" i="20" s="1"/>
  <c r="K105" i="20" s="1"/>
  <c r="K106" i="20" s="1"/>
  <c r="J99" i="20"/>
  <c r="J104" i="20" s="1"/>
  <c r="J105" i="20" s="1"/>
  <c r="J106" i="20" s="1"/>
  <c r="I99" i="20"/>
  <c r="I104" i="20" s="1"/>
  <c r="I105" i="20" s="1"/>
  <c r="I106" i="20" s="1"/>
  <c r="H99" i="20"/>
  <c r="H104" i="20" s="1"/>
  <c r="H105" i="20" s="1"/>
  <c r="H106" i="20" s="1"/>
  <c r="K94" i="20"/>
  <c r="J94" i="20"/>
  <c r="I94" i="20"/>
  <c r="H94" i="20"/>
  <c r="K91" i="20"/>
  <c r="J91" i="20"/>
  <c r="J107" i="20" s="1"/>
  <c r="I91" i="20"/>
  <c r="H91" i="20"/>
  <c r="H107" i="20" s="1"/>
  <c r="L104" i="20" l="1"/>
  <c r="L105" i="20" s="1"/>
  <c r="L106" i="20" s="1"/>
  <c r="K107" i="20"/>
  <c r="I107" i="20"/>
  <c r="L107" i="20" l="1"/>
  <c r="O21" i="20"/>
  <c r="O47" i="20"/>
  <c r="P47" i="20" s="1"/>
  <c r="Q47" i="20" s="1"/>
  <c r="R47" i="20" s="1"/>
  <c r="S47" i="20" s="1"/>
  <c r="T47" i="20" s="1"/>
  <c r="U47" i="20" s="1"/>
  <c r="V47" i="20" s="1"/>
  <c r="W47" i="20" s="1"/>
  <c r="X47" i="20" s="1"/>
  <c r="Y47" i="20" s="1"/>
  <c r="Z47" i="20" s="1"/>
  <c r="AA47" i="20" s="1"/>
  <c r="AB47" i="20" s="1"/>
  <c r="AC47" i="20" s="1"/>
  <c r="AD47" i="20" s="1"/>
  <c r="AE47" i="20" s="1"/>
  <c r="AF47" i="20" s="1"/>
  <c r="AG47" i="20" s="1"/>
  <c r="AH47" i="20" s="1"/>
  <c r="AI47" i="20" s="1"/>
  <c r="AJ47" i="20" s="1"/>
  <c r="AK47" i="20" s="1"/>
  <c r="AL47" i="20" s="1"/>
  <c r="AM47" i="20" s="1"/>
  <c r="AN47" i="20" s="1"/>
  <c r="AO47" i="20" s="1"/>
  <c r="AP47" i="20" s="1"/>
  <c r="AQ47" i="20" s="1"/>
  <c r="AR47" i="20" s="1"/>
  <c r="AS47" i="20" s="1"/>
  <c r="AT47" i="20" s="1"/>
  <c r="AU47" i="20" s="1"/>
  <c r="AV47" i="20" s="1"/>
  <c r="AW47" i="20" s="1"/>
  <c r="O45" i="20"/>
  <c r="O36" i="20"/>
  <c r="O33" i="20"/>
  <c r="P33" i="20" s="1"/>
  <c r="Q33" i="20" s="1"/>
  <c r="R33" i="20" s="1"/>
  <c r="S33" i="20" s="1"/>
  <c r="T33" i="20" s="1"/>
  <c r="U33" i="20" s="1"/>
  <c r="V33" i="20" s="1"/>
  <c r="W33" i="20" s="1"/>
  <c r="X33" i="20" s="1"/>
  <c r="Y33" i="20" s="1"/>
  <c r="Z33" i="20" s="1"/>
  <c r="AA33" i="20" s="1"/>
  <c r="AB33" i="20" s="1"/>
  <c r="AC33" i="20" s="1"/>
  <c r="AD33" i="20" s="1"/>
  <c r="AE33" i="20" s="1"/>
  <c r="AF33" i="20" s="1"/>
  <c r="AG33" i="20" s="1"/>
  <c r="AH33" i="20" s="1"/>
  <c r="AI33" i="20" s="1"/>
  <c r="AJ33" i="20" s="1"/>
  <c r="AK33" i="20" s="1"/>
  <c r="AL33" i="20" s="1"/>
  <c r="AM33" i="20" s="1"/>
  <c r="AN33" i="20" s="1"/>
  <c r="AO33" i="20" s="1"/>
  <c r="AP33" i="20" s="1"/>
  <c r="AQ33" i="20" s="1"/>
  <c r="AR33" i="20" s="1"/>
  <c r="AS33" i="20" s="1"/>
  <c r="AT33" i="20" s="1"/>
  <c r="AU33" i="20" s="1"/>
  <c r="AV33" i="20" s="1"/>
  <c r="AW33" i="20" s="1"/>
  <c r="O30" i="20"/>
  <c r="O22" i="20"/>
  <c r="O18" i="20"/>
  <c r="O19" i="20"/>
  <c r="O17" i="20"/>
  <c r="O12" i="20"/>
  <c r="O13" i="20"/>
  <c r="O14" i="20"/>
  <c r="O11" i="20"/>
  <c r="P30" i="20"/>
  <c r="Q30" i="20" s="1"/>
  <c r="R30" i="20" s="1"/>
  <c r="S30" i="20" s="1"/>
  <c r="T30" i="20" s="1"/>
  <c r="U30" i="20" s="1"/>
  <c r="V30" i="20" s="1"/>
  <c r="W30" i="20" s="1"/>
  <c r="X30" i="20" s="1"/>
  <c r="Y30" i="20" s="1"/>
  <c r="Z30" i="20" s="1"/>
  <c r="AA30" i="20" s="1"/>
  <c r="AB30" i="20" s="1"/>
  <c r="AC30" i="20" s="1"/>
  <c r="AD30" i="20" s="1"/>
  <c r="AE30" i="20" s="1"/>
  <c r="AF30" i="20" s="1"/>
  <c r="AG30" i="20" s="1"/>
  <c r="AH30" i="20" s="1"/>
  <c r="AI30" i="20" s="1"/>
  <c r="AJ30" i="20" s="1"/>
  <c r="AK30" i="20" s="1"/>
  <c r="AL30" i="20" s="1"/>
  <c r="AM30" i="20" s="1"/>
  <c r="AN30" i="20" s="1"/>
  <c r="AO30" i="20" s="1"/>
  <c r="AP30" i="20" s="1"/>
  <c r="AQ30" i="20" s="1"/>
  <c r="AR30" i="20" s="1"/>
  <c r="AS30" i="20" s="1"/>
  <c r="AT30" i="20" s="1"/>
  <c r="AU30" i="20" s="1"/>
  <c r="AV30" i="20" s="1"/>
  <c r="AW30" i="20" s="1"/>
  <c r="P45" i="20"/>
  <c r="Q45" i="20" s="1"/>
  <c r="R45" i="20" s="1"/>
  <c r="S45" i="20" s="1"/>
  <c r="T45" i="20" s="1"/>
  <c r="U45" i="20" s="1"/>
  <c r="V45" i="20" s="1"/>
  <c r="W45" i="20" s="1"/>
  <c r="X45" i="20" s="1"/>
  <c r="Y45" i="20" s="1"/>
  <c r="Z45" i="20" s="1"/>
  <c r="AA45" i="20" s="1"/>
  <c r="AB45" i="20" s="1"/>
  <c r="AC45" i="20" s="1"/>
  <c r="AD45" i="20" s="1"/>
  <c r="AE45" i="20" s="1"/>
  <c r="AF45" i="20" s="1"/>
  <c r="AG45" i="20" s="1"/>
  <c r="AH45" i="20" s="1"/>
  <c r="AI45" i="20" s="1"/>
  <c r="AJ45" i="20" s="1"/>
  <c r="AK45" i="20" s="1"/>
  <c r="AL45" i="20" s="1"/>
  <c r="AM45" i="20" s="1"/>
  <c r="AN45" i="20" s="1"/>
  <c r="AO45" i="20" s="1"/>
  <c r="AP45" i="20" s="1"/>
  <c r="AQ45" i="20" s="1"/>
  <c r="AR45" i="20" s="1"/>
  <c r="AS45" i="20" s="1"/>
  <c r="AT45" i="20" s="1"/>
  <c r="AU45" i="20" s="1"/>
  <c r="AV45" i="20" s="1"/>
  <c r="AW45" i="20" s="1"/>
  <c r="P22" i="20" l="1"/>
  <c r="Q22" i="20" s="1"/>
  <c r="R22" i="20" s="1"/>
  <c r="S22" i="20" s="1"/>
  <c r="T22" i="20" s="1"/>
  <c r="U22" i="20" s="1"/>
  <c r="V22" i="20" s="1"/>
  <c r="W22" i="20" s="1"/>
  <c r="X22" i="20" s="1"/>
  <c r="Y22" i="20" s="1"/>
  <c r="Z22" i="20" s="1"/>
  <c r="AA22" i="20" s="1"/>
  <c r="AB22" i="20" s="1"/>
  <c r="AC22" i="20" s="1"/>
  <c r="AD22" i="20" s="1"/>
  <c r="AE22" i="20" s="1"/>
  <c r="AF22" i="20" s="1"/>
  <c r="AG22" i="20" s="1"/>
  <c r="AH22" i="20" s="1"/>
  <c r="AI22" i="20" s="1"/>
  <c r="AJ22" i="20" s="1"/>
  <c r="AK22" i="20" s="1"/>
  <c r="AL22" i="20" s="1"/>
  <c r="AM22" i="20" s="1"/>
  <c r="AN22" i="20" s="1"/>
  <c r="AO22" i="20" s="1"/>
  <c r="AP22" i="20" s="1"/>
  <c r="AQ22" i="20" s="1"/>
  <c r="AR22" i="20" s="1"/>
  <c r="AS22" i="20" s="1"/>
  <c r="AT22" i="20" s="1"/>
  <c r="AU22" i="20" s="1"/>
  <c r="AV22" i="20" s="1"/>
  <c r="AW22" i="20" s="1"/>
  <c r="P21" i="20"/>
  <c r="Q21" i="20" s="1"/>
  <c r="R21" i="20" s="1"/>
  <c r="S21" i="20" s="1"/>
  <c r="T21" i="20" s="1"/>
  <c r="U21" i="20" s="1"/>
  <c r="V21" i="20" s="1"/>
  <c r="W21" i="20" s="1"/>
  <c r="X21" i="20" s="1"/>
  <c r="Y21" i="20" s="1"/>
  <c r="Z21" i="20" s="1"/>
  <c r="AA21" i="20" s="1"/>
  <c r="AB21" i="20" s="1"/>
  <c r="AC21" i="20" s="1"/>
  <c r="AD21" i="20" s="1"/>
  <c r="AE21" i="20" s="1"/>
  <c r="AF21" i="20" s="1"/>
  <c r="AG21" i="20" s="1"/>
  <c r="AH21" i="20" s="1"/>
  <c r="AI21" i="20" s="1"/>
  <c r="AJ21" i="20" s="1"/>
  <c r="AK21" i="20" s="1"/>
  <c r="AL21" i="20" s="1"/>
  <c r="AM21" i="20" s="1"/>
  <c r="AN21" i="20" s="1"/>
  <c r="AO21" i="20" s="1"/>
  <c r="AP21" i="20" s="1"/>
  <c r="AQ21" i="20" s="1"/>
  <c r="AR21" i="20" s="1"/>
  <c r="AS21" i="20" s="1"/>
  <c r="AT21" i="20" s="1"/>
  <c r="AU21" i="20" s="1"/>
  <c r="AV21" i="20" s="1"/>
  <c r="AW21" i="20" s="1"/>
  <c r="P19" i="20"/>
  <c r="Q19" i="20" s="1"/>
  <c r="R19" i="20" s="1"/>
  <c r="S19" i="20" s="1"/>
  <c r="T19" i="20" s="1"/>
  <c r="U19" i="20" s="1"/>
  <c r="V19" i="20" s="1"/>
  <c r="W19" i="20" s="1"/>
  <c r="X19" i="20" s="1"/>
  <c r="Y19" i="20" s="1"/>
  <c r="Z19" i="20" s="1"/>
  <c r="AA19" i="20" s="1"/>
  <c r="AB19" i="20" s="1"/>
  <c r="AC19" i="20" s="1"/>
  <c r="AD19" i="20" s="1"/>
  <c r="AE19" i="20" s="1"/>
  <c r="AF19" i="20" s="1"/>
  <c r="AG19" i="20" s="1"/>
  <c r="AH19" i="20" s="1"/>
  <c r="AI19" i="20" s="1"/>
  <c r="AJ19" i="20" s="1"/>
  <c r="AK19" i="20" s="1"/>
  <c r="AL19" i="20" s="1"/>
  <c r="AM19" i="20" s="1"/>
  <c r="AN19" i="20" s="1"/>
  <c r="AO19" i="20" s="1"/>
  <c r="AP19" i="20" s="1"/>
  <c r="AQ19" i="20" s="1"/>
  <c r="AR19" i="20" s="1"/>
  <c r="AS19" i="20" s="1"/>
  <c r="AT19" i="20" s="1"/>
  <c r="AU19" i="20" s="1"/>
  <c r="AV19" i="20" s="1"/>
  <c r="AW19" i="20" s="1"/>
  <c r="P18" i="20"/>
  <c r="Q18" i="20" s="1"/>
  <c r="R18" i="20" s="1"/>
  <c r="S18" i="20" s="1"/>
  <c r="T18" i="20" s="1"/>
  <c r="U18" i="20" s="1"/>
  <c r="V18" i="20" s="1"/>
  <c r="W18" i="20" s="1"/>
  <c r="X18" i="20" s="1"/>
  <c r="Y18" i="20" s="1"/>
  <c r="Z18" i="20" s="1"/>
  <c r="AA18" i="20" s="1"/>
  <c r="AB18" i="20" s="1"/>
  <c r="AC18" i="20" s="1"/>
  <c r="AD18" i="20" s="1"/>
  <c r="AE18" i="20" s="1"/>
  <c r="AF18" i="20" s="1"/>
  <c r="AG18" i="20" s="1"/>
  <c r="AH18" i="20" s="1"/>
  <c r="AI18" i="20" s="1"/>
  <c r="AJ18" i="20" s="1"/>
  <c r="AK18" i="20" s="1"/>
  <c r="AL18" i="20" s="1"/>
  <c r="AM18" i="20" s="1"/>
  <c r="AN18" i="20" s="1"/>
  <c r="AO18" i="20" s="1"/>
  <c r="AP18" i="20" s="1"/>
  <c r="AQ18" i="20" s="1"/>
  <c r="AR18" i="20" s="1"/>
  <c r="AS18" i="20" s="1"/>
  <c r="AT18" i="20" s="1"/>
  <c r="AU18" i="20" s="1"/>
  <c r="AV18" i="20" s="1"/>
  <c r="AW18" i="20" s="1"/>
  <c r="P17" i="20"/>
  <c r="P14" i="20"/>
  <c r="Q14" i="20" s="1"/>
  <c r="R14" i="20" s="1"/>
  <c r="S14" i="20" s="1"/>
  <c r="T14" i="20" s="1"/>
  <c r="U14" i="20" s="1"/>
  <c r="V14" i="20" s="1"/>
  <c r="W14" i="20" s="1"/>
  <c r="X14" i="20" s="1"/>
  <c r="Y14" i="20" s="1"/>
  <c r="Z14" i="20" s="1"/>
  <c r="AA14" i="20" s="1"/>
  <c r="AB14" i="20" s="1"/>
  <c r="AC14" i="20" s="1"/>
  <c r="AD14" i="20" s="1"/>
  <c r="AE14" i="20" s="1"/>
  <c r="AF14" i="20" s="1"/>
  <c r="AG14" i="20" s="1"/>
  <c r="AH14" i="20" s="1"/>
  <c r="AI14" i="20" s="1"/>
  <c r="AJ14" i="20" s="1"/>
  <c r="AK14" i="20" s="1"/>
  <c r="AL14" i="20" s="1"/>
  <c r="AM14" i="20" s="1"/>
  <c r="AN14" i="20" s="1"/>
  <c r="AO14" i="20" s="1"/>
  <c r="AP14" i="20" s="1"/>
  <c r="AQ14" i="20" s="1"/>
  <c r="AR14" i="20" s="1"/>
  <c r="AS14" i="20" s="1"/>
  <c r="AT14" i="20" s="1"/>
  <c r="AU14" i="20" s="1"/>
  <c r="AV14" i="20" s="1"/>
  <c r="AW14" i="20" s="1"/>
  <c r="P13" i="20"/>
  <c r="Q13" i="20" s="1"/>
  <c r="R13" i="20" s="1"/>
  <c r="S13" i="20" s="1"/>
  <c r="T13" i="20" s="1"/>
  <c r="U13" i="20" s="1"/>
  <c r="V13" i="20" s="1"/>
  <c r="W13" i="20" s="1"/>
  <c r="X13" i="20" s="1"/>
  <c r="Y13" i="20" s="1"/>
  <c r="Z13" i="20" s="1"/>
  <c r="AA13" i="20" s="1"/>
  <c r="AB13" i="20" s="1"/>
  <c r="AC13" i="20" s="1"/>
  <c r="AD13" i="20" s="1"/>
  <c r="AE13" i="20" s="1"/>
  <c r="AF13" i="20" s="1"/>
  <c r="AG13" i="20" s="1"/>
  <c r="AH13" i="20" s="1"/>
  <c r="AI13" i="20" s="1"/>
  <c r="AJ13" i="20" s="1"/>
  <c r="AK13" i="20" s="1"/>
  <c r="AL13" i="20" s="1"/>
  <c r="AM13" i="20" s="1"/>
  <c r="AN13" i="20" s="1"/>
  <c r="AO13" i="20" s="1"/>
  <c r="AP13" i="20" s="1"/>
  <c r="AQ13" i="20" s="1"/>
  <c r="AR13" i="20" s="1"/>
  <c r="AS13" i="20" s="1"/>
  <c r="AT13" i="20" s="1"/>
  <c r="AU13" i="20" s="1"/>
  <c r="AV13" i="20" s="1"/>
  <c r="AW13" i="20" s="1"/>
  <c r="P12" i="20"/>
  <c r="P11" i="20"/>
  <c r="Q11" i="20" s="1"/>
  <c r="R11" i="20" s="1"/>
  <c r="S11" i="20" s="1"/>
  <c r="T11" i="20" s="1"/>
  <c r="U11" i="20" s="1"/>
  <c r="V11" i="20" s="1"/>
  <c r="W11" i="20" s="1"/>
  <c r="X11" i="20" s="1"/>
  <c r="Y11" i="20" s="1"/>
  <c r="Z11" i="20" s="1"/>
  <c r="AA11" i="20" s="1"/>
  <c r="AB11" i="20" s="1"/>
  <c r="AC11" i="20" s="1"/>
  <c r="AD11" i="20" s="1"/>
  <c r="AE11" i="20" s="1"/>
  <c r="AF11" i="20" s="1"/>
  <c r="AG11" i="20" s="1"/>
  <c r="AH11" i="20" s="1"/>
  <c r="AI11" i="20" s="1"/>
  <c r="AJ11" i="20" s="1"/>
  <c r="AK11" i="20" s="1"/>
  <c r="AL11" i="20" s="1"/>
  <c r="AM11" i="20" s="1"/>
  <c r="AN11" i="20" s="1"/>
  <c r="AO11" i="20" s="1"/>
  <c r="AP11" i="20" s="1"/>
  <c r="AQ11" i="20" s="1"/>
  <c r="AR11" i="20" s="1"/>
  <c r="AS11" i="20" s="1"/>
  <c r="AT11" i="20" s="1"/>
  <c r="AU11" i="20" s="1"/>
  <c r="AV11" i="20" s="1"/>
  <c r="AW11" i="20" s="1"/>
  <c r="O29" i="20"/>
  <c r="Q15" i="20"/>
  <c r="R15" i="20"/>
  <c r="S15" i="20" s="1"/>
  <c r="T15" i="20" s="1"/>
  <c r="U15" i="20" s="1"/>
  <c r="V15" i="20" s="1"/>
  <c r="W15" i="20" s="1"/>
  <c r="X15" i="20" s="1"/>
  <c r="Y15" i="20" s="1"/>
  <c r="Z15" i="20" s="1"/>
  <c r="AA15" i="20" s="1"/>
  <c r="AB15" i="20" s="1"/>
  <c r="AC15" i="20" s="1"/>
  <c r="AD15" i="20" s="1"/>
  <c r="AE15" i="20" s="1"/>
  <c r="AF15" i="20" s="1"/>
  <c r="AG15" i="20" s="1"/>
  <c r="AH15" i="20" s="1"/>
  <c r="AI15" i="20" s="1"/>
  <c r="AJ15" i="20" s="1"/>
  <c r="AK15" i="20" s="1"/>
  <c r="AL15" i="20" s="1"/>
  <c r="AM15" i="20" s="1"/>
  <c r="AN15" i="20" s="1"/>
  <c r="AO15" i="20" s="1"/>
  <c r="AP15" i="20" s="1"/>
  <c r="AQ15" i="20" s="1"/>
  <c r="AR15" i="20" s="1"/>
  <c r="AS15" i="20" s="1"/>
  <c r="AT15" i="20" s="1"/>
  <c r="AU15" i="20" s="1"/>
  <c r="AV15" i="20" s="1"/>
  <c r="AW15" i="20" s="1"/>
  <c r="Q16" i="20"/>
  <c r="R16" i="20" s="1"/>
  <c r="S16" i="20" s="1"/>
  <c r="T16" i="20" s="1"/>
  <c r="U16" i="20" s="1"/>
  <c r="V16" i="20" s="1"/>
  <c r="W16" i="20" s="1"/>
  <c r="X16" i="20" s="1"/>
  <c r="Y16" i="20" s="1"/>
  <c r="Z16" i="20" s="1"/>
  <c r="AA16" i="20" s="1"/>
  <c r="AB16" i="20" s="1"/>
  <c r="AC16" i="20" s="1"/>
  <c r="AD16" i="20" s="1"/>
  <c r="AE16" i="20" s="1"/>
  <c r="AF16" i="20" s="1"/>
  <c r="AG16" i="20" s="1"/>
  <c r="AH16" i="20" s="1"/>
  <c r="AI16" i="20" s="1"/>
  <c r="AJ16" i="20" s="1"/>
  <c r="AK16" i="20" s="1"/>
  <c r="AL16" i="20" s="1"/>
  <c r="AM16" i="20" s="1"/>
  <c r="AN16" i="20" s="1"/>
  <c r="AO16" i="20" s="1"/>
  <c r="AP16" i="20" s="1"/>
  <c r="AQ16" i="20" s="1"/>
  <c r="AR16" i="20" s="1"/>
  <c r="AS16" i="20" s="1"/>
  <c r="AT16" i="20" s="1"/>
  <c r="AU16" i="20" s="1"/>
  <c r="AV16" i="20" s="1"/>
  <c r="AW16" i="20" s="1"/>
  <c r="Q17" i="20"/>
  <c r="R17" i="20" s="1"/>
  <c r="S17" i="20" s="1"/>
  <c r="T17" i="20" s="1"/>
  <c r="U17" i="20" s="1"/>
  <c r="V17" i="20" s="1"/>
  <c r="W17" i="20" s="1"/>
  <c r="X17" i="20" s="1"/>
  <c r="Y17" i="20" s="1"/>
  <c r="Z17" i="20" s="1"/>
  <c r="AA17" i="20" s="1"/>
  <c r="AB17" i="20" s="1"/>
  <c r="AC17" i="20" s="1"/>
  <c r="AD17" i="20" s="1"/>
  <c r="AE17" i="20" s="1"/>
  <c r="AF17" i="20" s="1"/>
  <c r="AG17" i="20" s="1"/>
  <c r="AH17" i="20" s="1"/>
  <c r="AI17" i="20" s="1"/>
  <c r="AJ17" i="20" s="1"/>
  <c r="AK17" i="20" s="1"/>
  <c r="AL17" i="20" s="1"/>
  <c r="AM17" i="20" s="1"/>
  <c r="AN17" i="20" s="1"/>
  <c r="AO17" i="20" s="1"/>
  <c r="AP17" i="20" s="1"/>
  <c r="AQ17" i="20" s="1"/>
  <c r="AR17" i="20" s="1"/>
  <c r="AS17" i="20" s="1"/>
  <c r="AT17" i="20" s="1"/>
  <c r="AU17" i="20" s="1"/>
  <c r="AV17" i="20" s="1"/>
  <c r="AW17" i="20" s="1"/>
  <c r="Q20" i="20"/>
  <c r="R20" i="20" s="1"/>
  <c r="S20" i="20" s="1"/>
  <c r="T20" i="20" s="1"/>
  <c r="U20" i="20" s="1"/>
  <c r="V20" i="20" s="1"/>
  <c r="W20" i="20" s="1"/>
  <c r="X20" i="20" s="1"/>
  <c r="Y20" i="20" s="1"/>
  <c r="Z20" i="20" s="1"/>
  <c r="AA20" i="20" s="1"/>
  <c r="AB20" i="20" s="1"/>
  <c r="AC20" i="20" s="1"/>
  <c r="AD20" i="20" s="1"/>
  <c r="AE20" i="20" s="1"/>
  <c r="AF20" i="20" s="1"/>
  <c r="AG20" i="20" s="1"/>
  <c r="AH20" i="20" s="1"/>
  <c r="AI20" i="20" s="1"/>
  <c r="AJ20" i="20" s="1"/>
  <c r="AK20" i="20" s="1"/>
  <c r="AL20" i="20" s="1"/>
  <c r="AM20" i="20" s="1"/>
  <c r="AN20" i="20" s="1"/>
  <c r="AO20" i="20" s="1"/>
  <c r="AP20" i="20" s="1"/>
  <c r="AQ20" i="20" s="1"/>
  <c r="AR20" i="20" s="1"/>
  <c r="AS20" i="20" s="1"/>
  <c r="AT20" i="20" s="1"/>
  <c r="AU20" i="20" s="1"/>
  <c r="AV20" i="20" s="1"/>
  <c r="AW20" i="20" s="1"/>
  <c r="Q23" i="20"/>
  <c r="R23" i="20"/>
  <c r="S23" i="20" s="1"/>
  <c r="T23" i="20" s="1"/>
  <c r="U23" i="20" s="1"/>
  <c r="V23" i="20" s="1"/>
  <c r="W23" i="20" s="1"/>
  <c r="X23" i="20" s="1"/>
  <c r="Y23" i="20" s="1"/>
  <c r="Z23" i="20" s="1"/>
  <c r="AA23" i="20" s="1"/>
  <c r="AB23" i="20" s="1"/>
  <c r="AC23" i="20" s="1"/>
  <c r="AD23" i="20" s="1"/>
  <c r="AE23" i="20" s="1"/>
  <c r="AF23" i="20" s="1"/>
  <c r="AG23" i="20" s="1"/>
  <c r="AH23" i="20" s="1"/>
  <c r="AI23" i="20" s="1"/>
  <c r="AJ23" i="20" s="1"/>
  <c r="AK23" i="20" s="1"/>
  <c r="AL23" i="20" s="1"/>
  <c r="AM23" i="20" s="1"/>
  <c r="AN23" i="20" s="1"/>
  <c r="AO23" i="20" s="1"/>
  <c r="AP23" i="20" s="1"/>
  <c r="AQ23" i="20" s="1"/>
  <c r="AR23" i="20" s="1"/>
  <c r="AS23" i="20" s="1"/>
  <c r="AT23" i="20" s="1"/>
  <c r="AU23" i="20" s="1"/>
  <c r="AV23" i="20" s="1"/>
  <c r="AW23" i="20" s="1"/>
  <c r="Q24" i="20"/>
  <c r="R24" i="20"/>
  <c r="S24" i="20"/>
  <c r="T24" i="20"/>
  <c r="U24" i="20" s="1"/>
  <c r="V24" i="20" s="1"/>
  <c r="W24" i="20" s="1"/>
  <c r="X24" i="20" s="1"/>
  <c r="Y24" i="20" s="1"/>
  <c r="Z24" i="20" s="1"/>
  <c r="AA24" i="20" s="1"/>
  <c r="AB24" i="20" s="1"/>
  <c r="AC24" i="20" s="1"/>
  <c r="AD24" i="20" s="1"/>
  <c r="AE24" i="20" s="1"/>
  <c r="AF24" i="20" s="1"/>
  <c r="AG24" i="20" s="1"/>
  <c r="AH24" i="20" s="1"/>
  <c r="AI24" i="20" s="1"/>
  <c r="AJ24" i="20" s="1"/>
  <c r="AK24" i="20" s="1"/>
  <c r="AL24" i="20" s="1"/>
  <c r="AM24" i="20" s="1"/>
  <c r="AN24" i="20" s="1"/>
  <c r="AO24" i="20" s="1"/>
  <c r="AP24" i="20" s="1"/>
  <c r="AQ24" i="20" s="1"/>
  <c r="AR24" i="20" s="1"/>
  <c r="AS24" i="20" s="1"/>
  <c r="AT24" i="20" s="1"/>
  <c r="AU24" i="20" s="1"/>
  <c r="AV24" i="20" s="1"/>
  <c r="AW24" i="20" s="1"/>
  <c r="P24" i="20"/>
  <c r="P23" i="20"/>
  <c r="P20" i="20"/>
  <c r="P15" i="20"/>
  <c r="P52" i="20"/>
  <c r="E104" i="20" l="1"/>
  <c r="F99" i="20"/>
  <c r="G99" i="20"/>
  <c r="G104" i="20" s="1"/>
  <c r="F100" i="20"/>
  <c r="F104" i="20" s="1"/>
  <c r="F105" i="20" s="1"/>
  <c r="G100" i="20"/>
  <c r="F101" i="20"/>
  <c r="G101" i="20"/>
  <c r="F102" i="20"/>
  <c r="G102" i="20"/>
  <c r="E99" i="20"/>
  <c r="E100" i="20"/>
  <c r="E101" i="20"/>
  <c r="E102" i="20"/>
  <c r="D102" i="20"/>
  <c r="D101" i="20"/>
  <c r="D100" i="20"/>
  <c r="D99" i="20"/>
  <c r="D104" i="20" s="1"/>
  <c r="D105" i="20" s="1"/>
  <c r="E91" i="20"/>
  <c r="F91" i="20"/>
  <c r="G91" i="20"/>
  <c r="E94" i="20"/>
  <c r="F94" i="20"/>
  <c r="G94" i="20"/>
  <c r="G105" i="20" l="1"/>
  <c r="G106" i="20" s="1"/>
  <c r="E105" i="20"/>
  <c r="E106" i="20" s="1"/>
  <c r="F107" i="20"/>
  <c r="F106" i="20"/>
  <c r="D91" i="20"/>
  <c r="S50" i="20" s="1"/>
  <c r="D94" i="20"/>
  <c r="G107" i="20" l="1"/>
  <c r="E107" i="20"/>
  <c r="O67" i="20"/>
  <c r="P67" i="20"/>
  <c r="Q67" i="20"/>
  <c r="R67" i="20"/>
  <c r="S67" i="20"/>
  <c r="T67" i="20"/>
  <c r="Y49" i="20" l="1"/>
  <c r="V49" i="20" l="1"/>
  <c r="W49" i="20" s="1"/>
  <c r="U67" i="20"/>
  <c r="R32" i="20"/>
  <c r="S32" i="20" s="1"/>
  <c r="T32" i="20" s="1"/>
  <c r="U32" i="20" s="1"/>
  <c r="V32" i="20" s="1"/>
  <c r="W32" i="20" s="1"/>
  <c r="X32" i="20" s="1"/>
  <c r="Y32" i="20" s="1"/>
  <c r="Z32" i="20" s="1"/>
  <c r="AA32" i="20" s="1"/>
  <c r="AB32" i="20" s="1"/>
  <c r="AC32" i="20" s="1"/>
  <c r="AD32" i="20" s="1"/>
  <c r="AE32" i="20" s="1"/>
  <c r="AF32" i="20" s="1"/>
  <c r="AG32" i="20" s="1"/>
  <c r="AH32" i="20" s="1"/>
  <c r="AI32" i="20" s="1"/>
  <c r="AJ32" i="20" s="1"/>
  <c r="AK32" i="20" s="1"/>
  <c r="AL32" i="20" s="1"/>
  <c r="AM32" i="20" s="1"/>
  <c r="AN32" i="20" s="1"/>
  <c r="AO32" i="20" s="1"/>
  <c r="AP32" i="20" s="1"/>
  <c r="AQ32" i="20" s="1"/>
  <c r="AR32" i="20" s="1"/>
  <c r="AS32" i="20" s="1"/>
  <c r="AT32" i="20" s="1"/>
  <c r="AU32" i="20" s="1"/>
  <c r="AV32" i="20" s="1"/>
  <c r="AW32" i="20" s="1"/>
  <c r="V67" i="20" l="1"/>
  <c r="X49" i="20"/>
  <c r="W67" i="20"/>
  <c r="P38" i="19"/>
  <c r="M27" i="19"/>
  <c r="N16" i="19"/>
  <c r="P40" i="19"/>
  <c r="O40" i="19"/>
  <c r="O16" i="19"/>
  <c r="P16" i="19" s="1"/>
  <c r="N40" i="19"/>
  <c r="P36" i="19"/>
  <c r="P35" i="19"/>
  <c r="P34" i="19"/>
  <c r="P33" i="19"/>
  <c r="P32" i="19"/>
  <c r="P31" i="19"/>
  <c r="P30" i="19"/>
  <c r="P27" i="19"/>
  <c r="P26" i="19"/>
  <c r="P24" i="19"/>
  <c r="P23" i="19"/>
  <c r="P21" i="19"/>
  <c r="P20" i="19"/>
  <c r="P3" i="19"/>
  <c r="P4" i="19"/>
  <c r="P5" i="19"/>
  <c r="P6" i="19"/>
  <c r="P7" i="19"/>
  <c r="P8" i="19"/>
  <c r="P9" i="19"/>
  <c r="P10" i="19"/>
  <c r="P11" i="19"/>
  <c r="P12" i="19"/>
  <c r="P13" i="19"/>
  <c r="P14" i="19"/>
  <c r="P15" i="19"/>
  <c r="P2" i="19"/>
  <c r="M38" i="19"/>
  <c r="O38" i="19"/>
  <c r="O36" i="19"/>
  <c r="O35" i="19"/>
  <c r="O34" i="19"/>
  <c r="O33" i="19"/>
  <c r="O32" i="19"/>
  <c r="O31" i="19"/>
  <c r="O30" i="19"/>
  <c r="O27" i="19"/>
  <c r="O26" i="19"/>
  <c r="O23" i="19"/>
  <c r="O20" i="19"/>
  <c r="O24" i="19"/>
  <c r="O21" i="19"/>
  <c r="O3" i="19"/>
  <c r="O4" i="19"/>
  <c r="O5" i="19"/>
  <c r="O6" i="19"/>
  <c r="O7" i="19"/>
  <c r="O8" i="19"/>
  <c r="O9" i="19"/>
  <c r="O10" i="19"/>
  <c r="O11" i="19"/>
  <c r="O12" i="19"/>
  <c r="O13" i="19"/>
  <c r="O14" i="19"/>
  <c r="O15" i="19"/>
  <c r="O2" i="19"/>
  <c r="M36" i="19"/>
  <c r="M35" i="19"/>
  <c r="M34" i="19"/>
  <c r="M33" i="19"/>
  <c r="M32" i="19"/>
  <c r="M31" i="19"/>
  <c r="M30" i="19"/>
  <c r="M24" i="19"/>
  <c r="M23" i="19"/>
  <c r="M21" i="19"/>
  <c r="M20" i="19"/>
  <c r="M3" i="19"/>
  <c r="M4" i="19"/>
  <c r="M5" i="19"/>
  <c r="M6" i="19"/>
  <c r="M7" i="19"/>
  <c r="M8" i="19"/>
  <c r="M9" i="19"/>
  <c r="M10" i="19"/>
  <c r="M11" i="19"/>
  <c r="M12" i="19"/>
  <c r="M13" i="19"/>
  <c r="M14" i="19"/>
  <c r="M15" i="19"/>
  <c r="M2" i="19"/>
  <c r="X67" i="20" l="1"/>
  <c r="O32" i="20"/>
  <c r="P32" i="20" s="1"/>
  <c r="N6" i="20"/>
  <c r="M6" i="20"/>
  <c r="N9" i="20"/>
  <c r="M9" i="20"/>
  <c r="P36" i="20"/>
  <c r="Q36" i="20" s="1"/>
  <c r="R36" i="20" s="1"/>
  <c r="S36" i="20" s="1"/>
  <c r="T36" i="20" s="1"/>
  <c r="U36" i="20" s="1"/>
  <c r="V36" i="20" s="1"/>
  <c r="W36" i="20" s="1"/>
  <c r="X36" i="20" s="1"/>
  <c r="Y36" i="20" s="1"/>
  <c r="Z36" i="20" s="1"/>
  <c r="AA36" i="20" s="1"/>
  <c r="AB36" i="20" s="1"/>
  <c r="AC36" i="20" s="1"/>
  <c r="AD36" i="20" s="1"/>
  <c r="AE36" i="20" s="1"/>
  <c r="AF36" i="20" s="1"/>
  <c r="AG36" i="20" s="1"/>
  <c r="AH36" i="20" s="1"/>
  <c r="AI36" i="20" s="1"/>
  <c r="AJ36" i="20" s="1"/>
  <c r="AK36" i="20" s="1"/>
  <c r="AL36" i="20" s="1"/>
  <c r="AM36" i="20" s="1"/>
  <c r="AN36" i="20" s="1"/>
  <c r="AO36" i="20" s="1"/>
  <c r="AP36" i="20" s="1"/>
  <c r="AQ36" i="20" s="1"/>
  <c r="AR36" i="20" s="1"/>
  <c r="AS36" i="20" s="1"/>
  <c r="AT36" i="20" s="1"/>
  <c r="AU36" i="20" s="1"/>
  <c r="AV36" i="20" s="1"/>
  <c r="AW36" i="20" s="1"/>
  <c r="O35" i="20"/>
  <c r="P35" i="20" s="1"/>
  <c r="Q35" i="20" s="1"/>
  <c r="R35" i="20" s="1"/>
  <c r="S35" i="20" s="1"/>
  <c r="T35" i="20" s="1"/>
  <c r="U35" i="20" s="1"/>
  <c r="V35" i="20" s="1"/>
  <c r="W35" i="20" s="1"/>
  <c r="X35" i="20" s="1"/>
  <c r="Y35" i="20" s="1"/>
  <c r="Z35" i="20" s="1"/>
  <c r="AA35" i="20" s="1"/>
  <c r="AB35" i="20" s="1"/>
  <c r="AC35" i="20" s="1"/>
  <c r="AD35" i="20" s="1"/>
  <c r="AE35" i="20" s="1"/>
  <c r="AF35" i="20" s="1"/>
  <c r="AG35" i="20" s="1"/>
  <c r="AH35" i="20" s="1"/>
  <c r="AI35" i="20" s="1"/>
  <c r="AJ35" i="20" s="1"/>
  <c r="AK35" i="20" s="1"/>
  <c r="AL35" i="20" s="1"/>
  <c r="AM35" i="20" s="1"/>
  <c r="AN35" i="20" s="1"/>
  <c r="AO35" i="20" s="1"/>
  <c r="AP35" i="20" s="1"/>
  <c r="AQ35" i="20" s="1"/>
  <c r="AR35" i="20" s="1"/>
  <c r="AS35" i="20" s="1"/>
  <c r="AT35" i="20" s="1"/>
  <c r="AU35" i="20" s="1"/>
  <c r="AV35" i="20" s="1"/>
  <c r="AW35" i="20" s="1"/>
  <c r="P29" i="20"/>
  <c r="Z49" i="20" l="1"/>
  <c r="Y67" i="20"/>
  <c r="Q29" i="20"/>
  <c r="R29" i="20" s="1"/>
  <c r="S29" i="20" s="1"/>
  <c r="T29" i="20" s="1"/>
  <c r="U29" i="20" s="1"/>
  <c r="V29" i="20" s="1"/>
  <c r="W29" i="20" s="1"/>
  <c r="Q12" i="20"/>
  <c r="Q9" i="20" s="1"/>
  <c r="P6" i="20"/>
  <c r="O6" i="20"/>
  <c r="P9" i="20"/>
  <c r="O9" i="20"/>
  <c r="O25" i="20"/>
  <c r="O58" i="20" s="1"/>
  <c r="O54" i="20"/>
  <c r="O66" i="20" s="1"/>
  <c r="P54" i="20"/>
  <c r="P66" i="20" s="1"/>
  <c r="P25" i="20"/>
  <c r="P58" i="20" s="1"/>
  <c r="C104" i="20"/>
  <c r="C91" i="20" s="1"/>
  <c r="C107" i="20" s="1"/>
  <c r="C77" i="20"/>
  <c r="N75" i="20"/>
  <c r="N71" i="20"/>
  <c r="N73" i="20" s="1"/>
  <c r="N80" i="20" s="1"/>
  <c r="O72" i="20" s="1"/>
  <c r="M60" i="20"/>
  <c r="M62" i="20" s="1"/>
  <c r="L60" i="20"/>
  <c r="L62" i="20" s="1"/>
  <c r="K60" i="20"/>
  <c r="K62" i="20" s="1"/>
  <c r="J60" i="20"/>
  <c r="J62" i="20" s="1"/>
  <c r="I60" i="20"/>
  <c r="N54" i="20"/>
  <c r="M54" i="20"/>
  <c r="L54" i="20"/>
  <c r="K54" i="20"/>
  <c r="J54" i="20"/>
  <c r="I54" i="20"/>
  <c r="H54" i="20"/>
  <c r="H75" i="20" s="1"/>
  <c r="G54" i="20"/>
  <c r="G75" i="20" s="1"/>
  <c r="F54" i="20"/>
  <c r="E54" i="20"/>
  <c r="E59" i="20" s="1"/>
  <c r="D54" i="20"/>
  <c r="C54" i="20"/>
  <c r="C59" i="20" s="1"/>
  <c r="N25" i="20"/>
  <c r="N58" i="20" s="1"/>
  <c r="M25" i="20"/>
  <c r="L25" i="20"/>
  <c r="K25" i="20"/>
  <c r="K71" i="20" s="1"/>
  <c r="J25" i="20"/>
  <c r="I25" i="20"/>
  <c r="H25" i="20"/>
  <c r="H71" i="20" s="1"/>
  <c r="G25" i="20"/>
  <c r="G58" i="20" s="1"/>
  <c r="F25" i="20"/>
  <c r="F58" i="20" s="1"/>
  <c r="E25" i="20"/>
  <c r="E71" i="20" s="1"/>
  <c r="D25" i="20"/>
  <c r="D71" i="20" s="1"/>
  <c r="C25" i="20"/>
  <c r="C58" i="20" s="1"/>
  <c r="L9" i="20"/>
  <c r="K9" i="20"/>
  <c r="J9" i="20"/>
  <c r="I9" i="20"/>
  <c r="H9" i="20"/>
  <c r="G9" i="20"/>
  <c r="F9" i="20"/>
  <c r="E9" i="20"/>
  <c r="D9" i="20"/>
  <c r="C9" i="20"/>
  <c r="L6" i="20"/>
  <c r="K6" i="20"/>
  <c r="J6" i="20"/>
  <c r="I6" i="20"/>
  <c r="H6" i="20"/>
  <c r="G6" i="20"/>
  <c r="F6" i="20"/>
  <c r="E6" i="20"/>
  <c r="D6" i="20"/>
  <c r="M7" i="18"/>
  <c r="Q54" i="20" l="1"/>
  <c r="Q66" i="20" s="1"/>
  <c r="Q68" i="20" s="1"/>
  <c r="AA49" i="20"/>
  <c r="Z67" i="20"/>
  <c r="I74" i="20"/>
  <c r="I62" i="20"/>
  <c r="Q25" i="20"/>
  <c r="Q58" i="20" s="1"/>
  <c r="R12" i="20"/>
  <c r="Q6" i="20"/>
  <c r="R54" i="20"/>
  <c r="I71" i="20"/>
  <c r="M71" i="20"/>
  <c r="L71" i="20"/>
  <c r="J71" i="20"/>
  <c r="J74" i="20"/>
  <c r="K74" i="20"/>
  <c r="P59" i="20"/>
  <c r="P68" i="20"/>
  <c r="K7" i="20"/>
  <c r="D58" i="20"/>
  <c r="H7" i="20"/>
  <c r="F7" i="20"/>
  <c r="G7" i="20"/>
  <c r="I7" i="20"/>
  <c r="M7" i="20"/>
  <c r="F71" i="20"/>
  <c r="O59" i="20"/>
  <c r="O68" i="20"/>
  <c r="J7" i="20"/>
  <c r="O75" i="20"/>
  <c r="N59" i="20"/>
  <c r="F59" i="20"/>
  <c r="G71" i="20"/>
  <c r="G59" i="20"/>
  <c r="D106" i="20"/>
  <c r="K75" i="20"/>
  <c r="D7" i="20"/>
  <c r="L7" i="20"/>
  <c r="L75" i="20"/>
  <c r="H58" i="20"/>
  <c r="M74" i="20"/>
  <c r="N57" i="20"/>
  <c r="C71" i="20"/>
  <c r="C73" i="20" s="1"/>
  <c r="C80" i="20" s="1"/>
  <c r="D72" i="20" s="1"/>
  <c r="D73" i="20" s="1"/>
  <c r="D80" i="20" s="1"/>
  <c r="E72" i="20" s="1"/>
  <c r="E73" i="20" s="1"/>
  <c r="E80" i="20" s="1"/>
  <c r="F72" i="20" s="1"/>
  <c r="U54" i="20"/>
  <c r="U66" i="20" s="1"/>
  <c r="S54" i="20"/>
  <c r="S66" i="20" s="1"/>
  <c r="X29" i="20"/>
  <c r="T54" i="20"/>
  <c r="T66" i="20" s="1"/>
  <c r="C60" i="20"/>
  <c r="L74" i="20"/>
  <c r="O71" i="20"/>
  <c r="O73" i="20" s="1"/>
  <c r="F75" i="20"/>
  <c r="J75" i="20"/>
  <c r="E75" i="20"/>
  <c r="I75" i="20"/>
  <c r="M75" i="20"/>
  <c r="E7" i="20"/>
  <c r="D59" i="20"/>
  <c r="H59" i="20"/>
  <c r="E58" i="20"/>
  <c r="D75" i="20"/>
  <c r="N25" i="18"/>
  <c r="Q59" i="20" l="1"/>
  <c r="AB49" i="20"/>
  <c r="AA67" i="20"/>
  <c r="R66" i="20"/>
  <c r="R68" i="20" s="1"/>
  <c r="R9" i="20"/>
  <c r="R6" i="20"/>
  <c r="S12" i="20"/>
  <c r="R25" i="20"/>
  <c r="R58" i="20" s="1"/>
  <c r="R59" i="20"/>
  <c r="S59" i="20"/>
  <c r="S68" i="20"/>
  <c r="U59" i="20"/>
  <c r="U68" i="20"/>
  <c r="T59" i="20"/>
  <c r="T68" i="20"/>
  <c r="F73" i="20"/>
  <c r="F80" i="20" s="1"/>
  <c r="G72" i="20" s="1"/>
  <c r="G73" i="20" s="1"/>
  <c r="G80" i="20" s="1"/>
  <c r="H72" i="20" s="1"/>
  <c r="H73" i="20" s="1"/>
  <c r="H80" i="20" s="1"/>
  <c r="I72" i="20" s="1"/>
  <c r="I73" i="20" s="1"/>
  <c r="I80" i="20" s="1"/>
  <c r="J72" i="20" s="1"/>
  <c r="J73" i="20" s="1"/>
  <c r="J80" i="20" s="1"/>
  <c r="K72" i="20" s="1"/>
  <c r="K73" i="20" s="1"/>
  <c r="K80" i="20" s="1"/>
  <c r="L72" i="20" s="1"/>
  <c r="L73" i="20" s="1"/>
  <c r="L80" i="20" s="1"/>
  <c r="M72" i="20" s="1"/>
  <c r="M73" i="20" s="1"/>
  <c r="M80" i="20" s="1"/>
  <c r="N72" i="20" s="1"/>
  <c r="D107" i="20"/>
  <c r="N60" i="20"/>
  <c r="N62" i="20" s="1"/>
  <c r="Y29" i="20"/>
  <c r="V54" i="20"/>
  <c r="V66" i="20" s="1"/>
  <c r="C74" i="20"/>
  <c r="C62" i="20"/>
  <c r="D57" i="20"/>
  <c r="D60" i="20" s="1"/>
  <c r="N38" i="19"/>
  <c r="N36" i="19"/>
  <c r="N35" i="19"/>
  <c r="N34" i="19"/>
  <c r="N33" i="19"/>
  <c r="N32" i="19"/>
  <c r="N31" i="19"/>
  <c r="N30" i="19"/>
  <c r="N27" i="19"/>
  <c r="M26" i="19"/>
  <c r="N26" i="19" s="1"/>
  <c r="N24" i="19"/>
  <c r="N23" i="19"/>
  <c r="N21" i="19"/>
  <c r="N20" i="19"/>
  <c r="L40" i="19"/>
  <c r="K40" i="19"/>
  <c r="J40" i="19"/>
  <c r="I40" i="19"/>
  <c r="H40" i="19"/>
  <c r="G40" i="19"/>
  <c r="F40" i="19"/>
  <c r="E40" i="19"/>
  <c r="D40" i="19"/>
  <c r="C40" i="19"/>
  <c r="L16" i="19"/>
  <c r="K16" i="19"/>
  <c r="J16" i="19"/>
  <c r="I16" i="19"/>
  <c r="H16" i="19"/>
  <c r="G16" i="19"/>
  <c r="F16" i="19"/>
  <c r="E16" i="19"/>
  <c r="D16" i="19"/>
  <c r="C16" i="19"/>
  <c r="N3" i="19"/>
  <c r="N4" i="19"/>
  <c r="N5" i="19"/>
  <c r="N6" i="19"/>
  <c r="N7" i="19"/>
  <c r="N8" i="19"/>
  <c r="N9" i="19"/>
  <c r="N10" i="19"/>
  <c r="N11" i="19"/>
  <c r="N12" i="19"/>
  <c r="N13" i="19"/>
  <c r="N14" i="19"/>
  <c r="N15" i="19"/>
  <c r="N2" i="19"/>
  <c r="AC49" i="20" l="1"/>
  <c r="AB67" i="20"/>
  <c r="S6" i="20"/>
  <c r="S9" i="20"/>
  <c r="S25" i="20"/>
  <c r="S58" i="20" s="1"/>
  <c r="T12" i="20"/>
  <c r="V59" i="20"/>
  <c r="V68" i="20"/>
  <c r="O57" i="20"/>
  <c r="O60" i="20" s="1"/>
  <c r="O62" i="20" s="1"/>
  <c r="N74" i="20"/>
  <c r="Z29" i="20"/>
  <c r="W54" i="20"/>
  <c r="W66" i="20" s="1"/>
  <c r="D62" i="20"/>
  <c r="E57" i="20"/>
  <c r="E60" i="20" s="1"/>
  <c r="D74" i="20"/>
  <c r="M16" i="19"/>
  <c r="M40" i="19"/>
  <c r="AD49" i="20" l="1"/>
  <c r="AC67" i="20"/>
  <c r="T9" i="20"/>
  <c r="T6" i="20"/>
  <c r="U12" i="20"/>
  <c r="T25" i="20"/>
  <c r="T58" i="20" s="1"/>
  <c r="W59" i="20"/>
  <c r="W68" i="20"/>
  <c r="P57" i="20"/>
  <c r="P60" i="20" s="1"/>
  <c r="P62" i="20" s="1"/>
  <c r="P63" i="20" s="1"/>
  <c r="X54" i="20"/>
  <c r="X66" i="20" s="1"/>
  <c r="X68" i="20" s="1"/>
  <c r="AA29" i="20"/>
  <c r="F57" i="20"/>
  <c r="F60" i="20" s="1"/>
  <c r="E74" i="20"/>
  <c r="E62" i="20"/>
  <c r="C74" i="18"/>
  <c r="AE49" i="20" l="1"/>
  <c r="AD67" i="20"/>
  <c r="U9" i="20"/>
  <c r="U6" i="20"/>
  <c r="U25" i="20"/>
  <c r="U58" i="20" s="1"/>
  <c r="V12" i="20"/>
  <c r="X59" i="20"/>
  <c r="Q57" i="20"/>
  <c r="Q60" i="20" s="1"/>
  <c r="Q62" i="20" s="1"/>
  <c r="Q63" i="20" s="1"/>
  <c r="AB29" i="20"/>
  <c r="Y54" i="20"/>
  <c r="Y66" i="20" s="1"/>
  <c r="F62" i="20"/>
  <c r="F74" i="20"/>
  <c r="G57" i="20"/>
  <c r="G60" i="20" s="1"/>
  <c r="C9" i="18"/>
  <c r="C25" i="18"/>
  <c r="C58" i="18" s="1"/>
  <c r="C54" i="18"/>
  <c r="C92" i="18"/>
  <c r="C93" i="18" s="1"/>
  <c r="C100" i="18" s="1"/>
  <c r="AF49" i="20" l="1"/>
  <c r="AE67" i="20"/>
  <c r="V9" i="20"/>
  <c r="V6" i="20"/>
  <c r="W12" i="20"/>
  <c r="V25" i="20"/>
  <c r="V58" i="20" s="1"/>
  <c r="Y59" i="20"/>
  <c r="Y68" i="20"/>
  <c r="R57" i="20"/>
  <c r="R60" i="20" s="1"/>
  <c r="R62" i="20" s="1"/>
  <c r="R63" i="20" s="1"/>
  <c r="AC29" i="20"/>
  <c r="Z54" i="20"/>
  <c r="Z66" i="20" s="1"/>
  <c r="G74" i="20"/>
  <c r="G62" i="20"/>
  <c r="H57" i="20"/>
  <c r="H60" i="20" s="1"/>
  <c r="C103" i="18"/>
  <c r="C59" i="18"/>
  <c r="C60" i="18" s="1"/>
  <c r="C68" i="18"/>
  <c r="C70" i="18" s="1"/>
  <c r="C77" i="18" s="1"/>
  <c r="J60" i="18"/>
  <c r="J62" i="18" s="1"/>
  <c r="K60" i="18"/>
  <c r="K62" i="18" s="1"/>
  <c r="L60" i="18"/>
  <c r="L62" i="18" s="1"/>
  <c r="M60" i="18"/>
  <c r="M62" i="18" s="1"/>
  <c r="I60" i="18"/>
  <c r="I62" i="18" s="1"/>
  <c r="AG49" i="20" l="1"/>
  <c r="AF67" i="20"/>
  <c r="W9" i="20"/>
  <c r="W6" i="20"/>
  <c r="W25" i="20"/>
  <c r="W58" i="20" s="1"/>
  <c r="X12" i="20"/>
  <c r="Z59" i="20"/>
  <c r="Z68" i="20"/>
  <c r="S57" i="20"/>
  <c r="S60" i="20" s="1"/>
  <c r="S62" i="20" s="1"/>
  <c r="S63" i="20" s="1"/>
  <c r="AA54" i="20"/>
  <c r="AA66" i="20" s="1"/>
  <c r="AD29" i="20"/>
  <c r="H62" i="20"/>
  <c r="H74" i="20"/>
  <c r="C62" i="18"/>
  <c r="D57" i="18"/>
  <c r="C71" i="18"/>
  <c r="C104" i="18"/>
  <c r="D6" i="18"/>
  <c r="I71" i="18"/>
  <c r="J71" i="18"/>
  <c r="K71" i="18"/>
  <c r="L71" i="18"/>
  <c r="M71" i="18"/>
  <c r="N71" i="18"/>
  <c r="AH49" i="20" l="1"/>
  <c r="AG67" i="20"/>
  <c r="X9" i="20"/>
  <c r="X6" i="20"/>
  <c r="X25" i="20"/>
  <c r="X58" i="20" s="1"/>
  <c r="Y12" i="20"/>
  <c r="AA59" i="20"/>
  <c r="AA68" i="20"/>
  <c r="T57" i="20"/>
  <c r="T60" i="20" s="1"/>
  <c r="T62" i="20" s="1"/>
  <c r="T63" i="20" s="1"/>
  <c r="AB54" i="20"/>
  <c r="AB66" i="20" s="1"/>
  <c r="AE29" i="20"/>
  <c r="N54" i="18"/>
  <c r="O68" i="18" s="1"/>
  <c r="F6" i="18"/>
  <c r="G6" i="18"/>
  <c r="H6" i="18"/>
  <c r="I6" i="18"/>
  <c r="J6" i="18"/>
  <c r="K6" i="18"/>
  <c r="L6" i="18"/>
  <c r="M6" i="18"/>
  <c r="F9" i="18"/>
  <c r="G9" i="18"/>
  <c r="H9" i="18"/>
  <c r="I9" i="18"/>
  <c r="J9" i="18"/>
  <c r="K9" i="18"/>
  <c r="L9" i="18"/>
  <c r="M9" i="18"/>
  <c r="F25" i="18"/>
  <c r="F58" i="18" s="1"/>
  <c r="G25" i="18"/>
  <c r="G58" i="18" s="1"/>
  <c r="H25" i="18"/>
  <c r="H58" i="18" s="1"/>
  <c r="I25" i="18"/>
  <c r="J25" i="18"/>
  <c r="K25" i="18"/>
  <c r="L25" i="18"/>
  <c r="M25" i="18"/>
  <c r="F54" i="18"/>
  <c r="G54" i="18"/>
  <c r="H54" i="18"/>
  <c r="I54" i="18"/>
  <c r="I72" i="18" s="1"/>
  <c r="J54" i="18"/>
  <c r="J72" i="18" s="1"/>
  <c r="K54" i="18"/>
  <c r="K72" i="18" s="1"/>
  <c r="L54" i="18"/>
  <c r="L72" i="18" s="1"/>
  <c r="M54" i="18"/>
  <c r="M72" i="18" s="1"/>
  <c r="N72" i="18"/>
  <c r="D25" i="18"/>
  <c r="D58" i="18" s="1"/>
  <c r="E25" i="18"/>
  <c r="E58" i="18" s="1"/>
  <c r="E6" i="18"/>
  <c r="E9" i="18"/>
  <c r="D54" i="18"/>
  <c r="E54" i="18"/>
  <c r="D9" i="18"/>
  <c r="D92" i="18"/>
  <c r="D93" i="18" s="1"/>
  <c r="D103" i="18"/>
  <c r="C71" i="16"/>
  <c r="D71" i="16"/>
  <c r="E71" i="16"/>
  <c r="F71" i="16"/>
  <c r="C72" i="16"/>
  <c r="D72" i="16"/>
  <c r="E72" i="16"/>
  <c r="F72" i="16"/>
  <c r="C76" i="16"/>
  <c r="D76" i="16"/>
  <c r="E76" i="16"/>
  <c r="F76" i="16"/>
  <c r="C77" i="16"/>
  <c r="D77" i="16"/>
  <c r="E77" i="16"/>
  <c r="F77" i="16"/>
  <c r="C79" i="16"/>
  <c r="D79" i="16"/>
  <c r="E79" i="16"/>
  <c r="F79" i="16"/>
  <c r="AA3" i="16"/>
  <c r="AB3" i="16"/>
  <c r="AC3" i="16"/>
  <c r="AD3" i="16" s="1"/>
  <c r="AE3" i="16" s="1"/>
  <c r="AF3" i="16" s="1"/>
  <c r="AG3" i="16" s="1"/>
  <c r="AH3" i="16" s="1"/>
  <c r="AI3" i="16" s="1"/>
  <c r="AJ3" i="16" s="1"/>
  <c r="AK3" i="16" s="1"/>
  <c r="AL3" i="16" s="1"/>
  <c r="AM3" i="16" s="1"/>
  <c r="AN3" i="16" s="1"/>
  <c r="AO3" i="16" s="1"/>
  <c r="AP3" i="16" s="1"/>
  <c r="AQ3" i="16" s="1"/>
  <c r="AR3" i="16" s="1"/>
  <c r="AS3" i="16" s="1"/>
  <c r="AT3" i="16" s="1"/>
  <c r="AU3" i="16" s="1"/>
  <c r="AV3" i="16" s="1"/>
  <c r="C6" i="16"/>
  <c r="D6" i="16"/>
  <c r="E6" i="16"/>
  <c r="F6" i="16"/>
  <c r="B9" i="16"/>
  <c r="C9" i="16"/>
  <c r="D9" i="16"/>
  <c r="E9" i="16"/>
  <c r="F9" i="16"/>
  <c r="G9" i="16" s="1"/>
  <c r="H9" i="16" s="1"/>
  <c r="I9" i="16" s="1"/>
  <c r="J9" i="16"/>
  <c r="K9" i="16" s="1"/>
  <c r="L9" i="16" s="1"/>
  <c r="M9" i="16" s="1"/>
  <c r="N9" i="16"/>
  <c r="O9" i="16" s="1"/>
  <c r="P9" i="16" s="1"/>
  <c r="Q9" i="16" s="1"/>
  <c r="R9" i="16"/>
  <c r="S9" i="16" s="1"/>
  <c r="T9" i="16" s="1"/>
  <c r="U9" i="16" s="1"/>
  <c r="V9" i="16" s="1"/>
  <c r="W9" i="16" s="1"/>
  <c r="X9" i="16" s="1"/>
  <c r="Y9" i="16" s="1"/>
  <c r="Z9" i="16" s="1"/>
  <c r="AA9" i="16" s="1"/>
  <c r="AB9" i="16" s="1"/>
  <c r="AC9" i="16" s="1"/>
  <c r="AD9" i="16" s="1"/>
  <c r="AE9" i="16" s="1"/>
  <c r="AF9" i="16" s="1"/>
  <c r="AG9" i="16" s="1"/>
  <c r="AH9" i="16" s="1"/>
  <c r="AI9" i="16" s="1"/>
  <c r="AJ9" i="16" s="1"/>
  <c r="AK9" i="16" s="1"/>
  <c r="AL9" i="16" s="1"/>
  <c r="AM9" i="16" s="1"/>
  <c r="AN9" i="16" s="1"/>
  <c r="AO9" i="16" s="1"/>
  <c r="AP9" i="16" s="1"/>
  <c r="AQ9" i="16" s="1"/>
  <c r="AR9" i="16" s="1"/>
  <c r="AS9" i="16" s="1"/>
  <c r="AT9" i="16" s="1"/>
  <c r="AU9" i="16" s="1"/>
  <c r="AV9" i="16" s="1"/>
  <c r="G12" i="16"/>
  <c r="B23" i="16"/>
  <c r="B82" i="16" s="1"/>
  <c r="C23" i="16"/>
  <c r="D23" i="16"/>
  <c r="E23" i="16"/>
  <c r="E82" i="16" s="1"/>
  <c r="F23" i="16"/>
  <c r="G27" i="16"/>
  <c r="G28" i="16"/>
  <c r="H28" i="16"/>
  <c r="I28" i="16" s="1"/>
  <c r="J28" i="16" s="1"/>
  <c r="K28" i="16" s="1"/>
  <c r="L28" i="16" s="1"/>
  <c r="M28" i="16" s="1"/>
  <c r="N28" i="16" s="1"/>
  <c r="O28" i="16" s="1"/>
  <c r="P28" i="16" s="1"/>
  <c r="Q28" i="16" s="1"/>
  <c r="R28" i="16" s="1"/>
  <c r="S28" i="16" s="1"/>
  <c r="T28" i="16" s="1"/>
  <c r="U28" i="16" s="1"/>
  <c r="V28" i="16" s="1"/>
  <c r="W28" i="16" s="1"/>
  <c r="X28" i="16" s="1"/>
  <c r="Y28" i="16" s="1"/>
  <c r="Z28" i="16" s="1"/>
  <c r="AA28" i="16" s="1"/>
  <c r="AB28" i="16" s="1"/>
  <c r="AC28" i="16" s="1"/>
  <c r="AD28" i="16" s="1"/>
  <c r="AE28" i="16" s="1"/>
  <c r="AF28" i="16" s="1"/>
  <c r="AG28" i="16" s="1"/>
  <c r="AH28" i="16" s="1"/>
  <c r="AI28" i="16" s="1"/>
  <c r="AJ28" i="16" s="1"/>
  <c r="AK28" i="16" s="1"/>
  <c r="AL28" i="16" s="1"/>
  <c r="AM28" i="16" s="1"/>
  <c r="AN28" i="16" s="1"/>
  <c r="AO28" i="16" s="1"/>
  <c r="AP28" i="16" s="1"/>
  <c r="AQ28" i="16" s="1"/>
  <c r="AR28" i="16" s="1"/>
  <c r="AS28" i="16" s="1"/>
  <c r="AT28" i="16" s="1"/>
  <c r="AU28" i="16" s="1"/>
  <c r="AV28" i="16" s="1"/>
  <c r="G30" i="16"/>
  <c r="H30" i="16"/>
  <c r="I30" i="16" s="1"/>
  <c r="J30" i="16" s="1"/>
  <c r="K30" i="16" s="1"/>
  <c r="L30" i="16" s="1"/>
  <c r="M30" i="16" s="1"/>
  <c r="N30" i="16" s="1"/>
  <c r="O30" i="16" s="1"/>
  <c r="P30" i="16" s="1"/>
  <c r="Q30" i="16" s="1"/>
  <c r="R30" i="16" s="1"/>
  <c r="S30" i="16" s="1"/>
  <c r="T30" i="16" s="1"/>
  <c r="U30" i="16" s="1"/>
  <c r="V30" i="16" s="1"/>
  <c r="W30" i="16" s="1"/>
  <c r="X30" i="16" s="1"/>
  <c r="Y30" i="16" s="1"/>
  <c r="Z30" i="16" s="1"/>
  <c r="AA30" i="16" s="1"/>
  <c r="AB30" i="16" s="1"/>
  <c r="AC30" i="16" s="1"/>
  <c r="AD30" i="16" s="1"/>
  <c r="AE30" i="16" s="1"/>
  <c r="AF30" i="16" s="1"/>
  <c r="AG30" i="16" s="1"/>
  <c r="AH30" i="16" s="1"/>
  <c r="AI30" i="16" s="1"/>
  <c r="AJ30" i="16" s="1"/>
  <c r="AK30" i="16" s="1"/>
  <c r="AL30" i="16" s="1"/>
  <c r="AM30" i="16" s="1"/>
  <c r="AN30" i="16" s="1"/>
  <c r="AO30" i="16" s="1"/>
  <c r="AP30" i="16" s="1"/>
  <c r="AQ30" i="16" s="1"/>
  <c r="AR30" i="16" s="1"/>
  <c r="AS30" i="16" s="1"/>
  <c r="AT30" i="16" s="1"/>
  <c r="AU30" i="16" s="1"/>
  <c r="AV30" i="16" s="1"/>
  <c r="G31" i="16"/>
  <c r="H31" i="16" s="1"/>
  <c r="I31" i="16" s="1"/>
  <c r="J31" i="16" s="1"/>
  <c r="K31" i="16" s="1"/>
  <c r="L31" i="16"/>
  <c r="M31" i="16" s="1"/>
  <c r="N31" i="16" s="1"/>
  <c r="O31" i="16" s="1"/>
  <c r="P31" i="16" s="1"/>
  <c r="Q31" i="16" s="1"/>
  <c r="R31" i="16" s="1"/>
  <c r="S31" i="16" s="1"/>
  <c r="T31" i="16" s="1"/>
  <c r="U31" i="16" s="1"/>
  <c r="V31" i="16" s="1"/>
  <c r="W31" i="16"/>
  <c r="X31" i="16" s="1"/>
  <c r="Y31" i="16" s="1"/>
  <c r="Z31" i="16" s="1"/>
  <c r="AA31" i="16" s="1"/>
  <c r="AB31" i="16" s="1"/>
  <c r="AC31" i="16" s="1"/>
  <c r="AD31" i="16" s="1"/>
  <c r="AE31" i="16" s="1"/>
  <c r="AF31" i="16" s="1"/>
  <c r="AG31" i="16" s="1"/>
  <c r="AH31" i="16" s="1"/>
  <c r="AI31" i="16" s="1"/>
  <c r="AJ31" i="16" s="1"/>
  <c r="AK31" i="16" s="1"/>
  <c r="AL31" i="16" s="1"/>
  <c r="AM31" i="16" s="1"/>
  <c r="AN31" i="16" s="1"/>
  <c r="AO31" i="16" s="1"/>
  <c r="AP31" i="16" s="1"/>
  <c r="AQ31" i="16" s="1"/>
  <c r="AR31" i="16" s="1"/>
  <c r="AS31" i="16" s="1"/>
  <c r="AT31" i="16" s="1"/>
  <c r="AU31" i="16" s="1"/>
  <c r="AV31" i="16" s="1"/>
  <c r="G33" i="16"/>
  <c r="H33" i="16"/>
  <c r="I33" i="16"/>
  <c r="J33" i="16"/>
  <c r="K33" i="16" s="1"/>
  <c r="L33" i="16" s="1"/>
  <c r="M33" i="16" s="1"/>
  <c r="N33" i="16"/>
  <c r="O33" i="16" s="1"/>
  <c r="P33" i="16" s="1"/>
  <c r="Q33" i="16" s="1"/>
  <c r="R33" i="16" s="1"/>
  <c r="S33" i="16" s="1"/>
  <c r="T33" i="16" s="1"/>
  <c r="U33" i="16" s="1"/>
  <c r="V33" i="16" s="1"/>
  <c r="W33" i="16" s="1"/>
  <c r="X33" i="16" s="1"/>
  <c r="Y33" i="16" s="1"/>
  <c r="Z33" i="16" s="1"/>
  <c r="AA33" i="16" s="1"/>
  <c r="AB33" i="16" s="1"/>
  <c r="AC33" i="16" s="1"/>
  <c r="AD33" i="16" s="1"/>
  <c r="AE33" i="16" s="1"/>
  <c r="AF33" i="16" s="1"/>
  <c r="AG33" i="16" s="1"/>
  <c r="AH33" i="16" s="1"/>
  <c r="AI33" i="16" s="1"/>
  <c r="AJ33" i="16" s="1"/>
  <c r="AK33" i="16" s="1"/>
  <c r="AL33" i="16" s="1"/>
  <c r="AM33" i="16" s="1"/>
  <c r="AN33" i="16" s="1"/>
  <c r="AO33" i="16" s="1"/>
  <c r="AP33" i="16" s="1"/>
  <c r="AQ33" i="16" s="1"/>
  <c r="AR33" i="16" s="1"/>
  <c r="AS33" i="16" s="1"/>
  <c r="AT33" i="16" s="1"/>
  <c r="AU33" i="16" s="1"/>
  <c r="AV33" i="16" s="1"/>
  <c r="G34" i="16"/>
  <c r="H34" i="16"/>
  <c r="I34" i="16" s="1"/>
  <c r="J34" i="16" s="1"/>
  <c r="K34" i="16" s="1"/>
  <c r="L34" i="16" s="1"/>
  <c r="M34" i="16" s="1"/>
  <c r="N34" i="16" s="1"/>
  <c r="O34" i="16" s="1"/>
  <c r="P34" i="16" s="1"/>
  <c r="Q34" i="16" s="1"/>
  <c r="R34" i="16" s="1"/>
  <c r="S34" i="16" s="1"/>
  <c r="T34" i="16" s="1"/>
  <c r="U34" i="16" s="1"/>
  <c r="V34" i="16" s="1"/>
  <c r="W34" i="16" s="1"/>
  <c r="X34" i="16" s="1"/>
  <c r="Y34" i="16" s="1"/>
  <c r="Z34" i="16" s="1"/>
  <c r="AA34" i="16" s="1"/>
  <c r="AB34" i="16" s="1"/>
  <c r="AC34" i="16" s="1"/>
  <c r="AD34" i="16" s="1"/>
  <c r="AE34" i="16" s="1"/>
  <c r="AF34" i="16" s="1"/>
  <c r="AG34" i="16" s="1"/>
  <c r="AH34" i="16" s="1"/>
  <c r="AI34" i="16" s="1"/>
  <c r="AJ34" i="16" s="1"/>
  <c r="AK34" i="16" s="1"/>
  <c r="AL34" i="16" s="1"/>
  <c r="AM34" i="16" s="1"/>
  <c r="AN34" i="16" s="1"/>
  <c r="AO34" i="16" s="1"/>
  <c r="AP34" i="16" s="1"/>
  <c r="AQ34" i="16" s="1"/>
  <c r="AR34" i="16" s="1"/>
  <c r="AS34" i="16" s="1"/>
  <c r="AT34" i="16" s="1"/>
  <c r="AU34" i="16" s="1"/>
  <c r="AV34" i="16" s="1"/>
  <c r="G41" i="16"/>
  <c r="H41" i="16"/>
  <c r="I41" i="16"/>
  <c r="J41" i="16"/>
  <c r="K41" i="16" s="1"/>
  <c r="L41" i="16" s="1"/>
  <c r="M41" i="16" s="1"/>
  <c r="N41" i="16" s="1"/>
  <c r="O41" i="16" s="1"/>
  <c r="P41" i="16" s="1"/>
  <c r="Q41" i="16" s="1"/>
  <c r="R41" i="16" s="1"/>
  <c r="S41" i="16" s="1"/>
  <c r="T41" i="16" s="1"/>
  <c r="U41" i="16" s="1"/>
  <c r="V41" i="16" s="1"/>
  <c r="W41" i="16" s="1"/>
  <c r="X41" i="16" s="1"/>
  <c r="Y41" i="16" s="1"/>
  <c r="Z41" i="16" s="1"/>
  <c r="AA41" i="16" s="1"/>
  <c r="AB41" i="16" s="1"/>
  <c r="AC41" i="16" s="1"/>
  <c r="AD41" i="16" s="1"/>
  <c r="AE41" i="16" s="1"/>
  <c r="AF41" i="16" s="1"/>
  <c r="AG41" i="16" s="1"/>
  <c r="AH41" i="16" s="1"/>
  <c r="AI41" i="16" s="1"/>
  <c r="AJ41" i="16" s="1"/>
  <c r="AK41" i="16" s="1"/>
  <c r="AL41" i="16" s="1"/>
  <c r="AM41" i="16" s="1"/>
  <c r="AN41" i="16" s="1"/>
  <c r="AO41" i="16" s="1"/>
  <c r="AP41" i="16" s="1"/>
  <c r="AQ41" i="16" s="1"/>
  <c r="AR41" i="16" s="1"/>
  <c r="AS41" i="16" s="1"/>
  <c r="AT41" i="16" s="1"/>
  <c r="AU41" i="16" s="1"/>
  <c r="AV41" i="16" s="1"/>
  <c r="B46" i="16"/>
  <c r="B83" i="16" s="1"/>
  <c r="C46" i="16"/>
  <c r="D46" i="16"/>
  <c r="E46" i="16"/>
  <c r="F46" i="16"/>
  <c r="F48" i="16"/>
  <c r="B71" i="16"/>
  <c r="B72" i="16"/>
  <c r="I54" i="16"/>
  <c r="J54" i="16"/>
  <c r="K54" i="16"/>
  <c r="L54" i="16"/>
  <c r="M54" i="16"/>
  <c r="N54" i="16"/>
  <c r="O54" i="16"/>
  <c r="P54" i="16"/>
  <c r="Q54" i="16"/>
  <c r="R54" i="16"/>
  <c r="S54" i="16"/>
  <c r="T54" i="16"/>
  <c r="U54" i="16"/>
  <c r="V54" i="16"/>
  <c r="W54" i="16"/>
  <c r="X54" i="16"/>
  <c r="Y54" i="16"/>
  <c r="Z54" i="16"/>
  <c r="AA54" i="16"/>
  <c r="AB54" i="16"/>
  <c r="AC54" i="16"/>
  <c r="AD54" i="16"/>
  <c r="AE54" i="16"/>
  <c r="AF54" i="16"/>
  <c r="AG54" i="16"/>
  <c r="B51" i="16"/>
  <c r="C51" i="16"/>
  <c r="D51" i="16"/>
  <c r="E51" i="16"/>
  <c r="C82" i="16"/>
  <c r="D82" i="16"/>
  <c r="D83" i="16"/>
  <c r="E83" i="16"/>
  <c r="E9" i="1"/>
  <c r="E8" i="1"/>
  <c r="E7" i="1"/>
  <c r="E6" i="1"/>
  <c r="G53" i="16"/>
  <c r="B79" i="16"/>
  <c r="E7" i="16"/>
  <c r="E48" i="16"/>
  <c r="H27" i="16"/>
  <c r="H46" i="16" s="1"/>
  <c r="G46" i="16"/>
  <c r="G23" i="16"/>
  <c r="H12" i="16"/>
  <c r="I12" i="16" s="1"/>
  <c r="I23" i="16" s="1"/>
  <c r="D48" i="16"/>
  <c r="F7" i="16"/>
  <c r="I27" i="16"/>
  <c r="H23" i="16"/>
  <c r="H48" i="16"/>
  <c r="AI49" i="20" l="1"/>
  <c r="AH67" i="20"/>
  <c r="Y9" i="20"/>
  <c r="Y6" i="20"/>
  <c r="Z12" i="20"/>
  <c r="Y25" i="20"/>
  <c r="Y58" i="20" s="1"/>
  <c r="AB59" i="20"/>
  <c r="AB68" i="20"/>
  <c r="U57" i="20"/>
  <c r="U60" i="20" s="1"/>
  <c r="U62" i="20" s="1"/>
  <c r="U63" i="20" s="1"/>
  <c r="AF29" i="20"/>
  <c r="AC54" i="20"/>
  <c r="AC66" i="20" s="1"/>
  <c r="D72" i="18"/>
  <c r="D59" i="18"/>
  <c r="D60" i="18" s="1"/>
  <c r="H72" i="18"/>
  <c r="H59" i="18"/>
  <c r="E72" i="18"/>
  <c r="E59" i="18"/>
  <c r="G72" i="18"/>
  <c r="G59" i="18"/>
  <c r="F72" i="18"/>
  <c r="F59" i="18"/>
  <c r="O72" i="18"/>
  <c r="N68" i="18"/>
  <c r="I68" i="18"/>
  <c r="E68" i="18"/>
  <c r="L68" i="18"/>
  <c r="H68" i="18"/>
  <c r="M68" i="18"/>
  <c r="D68" i="18"/>
  <c r="K68" i="18"/>
  <c r="G68" i="18"/>
  <c r="F7" i="18"/>
  <c r="J68" i="18"/>
  <c r="F68" i="18"/>
  <c r="I46" i="16"/>
  <c r="I52" i="16" s="1"/>
  <c r="J27" i="16"/>
  <c r="J12" i="16"/>
  <c r="G48" i="16"/>
  <c r="C7" i="16"/>
  <c r="C83" i="16"/>
  <c r="D7" i="16"/>
  <c r="C48" i="16"/>
  <c r="B48" i="16"/>
  <c r="B50" i="16" s="1"/>
  <c r="B56" i="16" s="1"/>
  <c r="C49" i="16" s="1"/>
  <c r="D69" i="18"/>
  <c r="L7" i="18"/>
  <c r="K7" i="18"/>
  <c r="J7" i="18"/>
  <c r="I7" i="18"/>
  <c r="H7" i="18"/>
  <c r="G7" i="18"/>
  <c r="E7" i="18"/>
  <c r="D104" i="18"/>
  <c r="D7" i="18"/>
  <c r="D97" i="18"/>
  <c r="D98" i="18" s="1"/>
  <c r="AJ49" i="20" l="1"/>
  <c r="AI67" i="20"/>
  <c r="Z9" i="20"/>
  <c r="Z6" i="20"/>
  <c r="Z25" i="20"/>
  <c r="Z58" i="20" s="1"/>
  <c r="AA12" i="20"/>
  <c r="AC59" i="20"/>
  <c r="AC68" i="20"/>
  <c r="V57" i="20"/>
  <c r="V60" i="20" s="1"/>
  <c r="V62" i="20" s="1"/>
  <c r="V63" i="20" s="1"/>
  <c r="AD54" i="20"/>
  <c r="AD66" i="20" s="1"/>
  <c r="AG29" i="20"/>
  <c r="D62" i="18"/>
  <c r="E57" i="18"/>
  <c r="E60" i="18" s="1"/>
  <c r="D71" i="18"/>
  <c r="D70" i="18"/>
  <c r="J46" i="16"/>
  <c r="J52" i="16" s="1"/>
  <c r="K27" i="16"/>
  <c r="I48" i="16"/>
  <c r="C50" i="16"/>
  <c r="C56" i="16" s="1"/>
  <c r="D49" i="16" s="1"/>
  <c r="D50" i="16" s="1"/>
  <c r="D56" i="16" s="1"/>
  <c r="E49" i="16" s="1"/>
  <c r="E50" i="16" s="1"/>
  <c r="E56" i="16" s="1"/>
  <c r="F49" i="16" s="1"/>
  <c r="F50" i="16" s="1"/>
  <c r="F56" i="16" s="1"/>
  <c r="G49" i="16" s="1"/>
  <c r="G50" i="16" s="1"/>
  <c r="G56" i="16" s="1"/>
  <c r="H49" i="16" s="1"/>
  <c r="H50" i="16" s="1"/>
  <c r="H56" i="16" s="1"/>
  <c r="I49" i="16" s="1"/>
  <c r="J23" i="16"/>
  <c r="J48" i="16" s="1"/>
  <c r="K12" i="16"/>
  <c r="D100" i="18"/>
  <c r="AK49" i="20" l="1"/>
  <c r="AJ67" i="20"/>
  <c r="AA9" i="20"/>
  <c r="AA6" i="20"/>
  <c r="AB12" i="20"/>
  <c r="AA25" i="20"/>
  <c r="AA58" i="20" s="1"/>
  <c r="AD59" i="20"/>
  <c r="AD68" i="20"/>
  <c r="W57" i="20"/>
  <c r="W60" i="20" s="1"/>
  <c r="W62" i="20" s="1"/>
  <c r="W63" i="20" s="1"/>
  <c r="AE54" i="20"/>
  <c r="AE66" i="20" s="1"/>
  <c r="AH29" i="20"/>
  <c r="D77" i="18"/>
  <c r="E69" i="18" s="1"/>
  <c r="E70" i="18" s="1"/>
  <c r="E77" i="18" s="1"/>
  <c r="F69" i="18" s="1"/>
  <c r="F70" i="18" s="1"/>
  <c r="F77" i="18" s="1"/>
  <c r="F57" i="18"/>
  <c r="F60" i="18" s="1"/>
  <c r="E62" i="18"/>
  <c r="E71" i="18"/>
  <c r="L27" i="16"/>
  <c r="K46" i="16"/>
  <c r="K52" i="16" s="1"/>
  <c r="L12" i="16"/>
  <c r="K23" i="16"/>
  <c r="K48" i="16" s="1"/>
  <c r="I50" i="16"/>
  <c r="I56" i="16" s="1"/>
  <c r="J49" i="16" s="1"/>
  <c r="J50" i="16" s="1"/>
  <c r="J56" i="16" s="1"/>
  <c r="K49" i="16" s="1"/>
  <c r="AL49" i="20" l="1"/>
  <c r="AK67" i="20"/>
  <c r="AB9" i="20"/>
  <c r="AB6" i="20"/>
  <c r="AC12" i="20"/>
  <c r="AB25" i="20"/>
  <c r="AB58" i="20" s="1"/>
  <c r="AE59" i="20"/>
  <c r="AE68" i="20"/>
  <c r="X57" i="20"/>
  <c r="X60" i="20" s="1"/>
  <c r="X62" i="20" s="1"/>
  <c r="X63" i="20" s="1"/>
  <c r="AI29" i="20"/>
  <c r="AF54" i="20"/>
  <c r="AF66" i="20" s="1"/>
  <c r="G57" i="18"/>
  <c r="G60" i="18" s="1"/>
  <c r="F62" i="18"/>
  <c r="F71" i="18"/>
  <c r="G69" i="18"/>
  <c r="G70" i="18" s="1"/>
  <c r="G77" i="18" s="1"/>
  <c r="K50" i="16"/>
  <c r="K56" i="16" s="1"/>
  <c r="L49" i="16" s="1"/>
  <c r="L23" i="16"/>
  <c r="M12" i="16"/>
  <c r="L46" i="16"/>
  <c r="L52" i="16" s="1"/>
  <c r="M27" i="16"/>
  <c r="AM49" i="20" l="1"/>
  <c r="AL67" i="20"/>
  <c r="AC9" i="20"/>
  <c r="AC6" i="20"/>
  <c r="AC25" i="20"/>
  <c r="AC58" i="20" s="1"/>
  <c r="AD12" i="20"/>
  <c r="AF59" i="20"/>
  <c r="AF68" i="20"/>
  <c r="Y57" i="20"/>
  <c r="Y60" i="20" s="1"/>
  <c r="Y62" i="20" s="1"/>
  <c r="Y63" i="20" s="1"/>
  <c r="AJ29" i="20"/>
  <c r="AG54" i="20"/>
  <c r="AG66" i="20" s="1"/>
  <c r="H57" i="18"/>
  <c r="H60" i="18" s="1"/>
  <c r="G62" i="18"/>
  <c r="G71" i="18"/>
  <c r="H69" i="18"/>
  <c r="H70" i="18" s="1"/>
  <c r="H77" i="18" s="1"/>
  <c r="I69" i="18" s="1"/>
  <c r="I70" i="18" s="1"/>
  <c r="N27" i="16"/>
  <c r="M46" i="16"/>
  <c r="M52" i="16" s="1"/>
  <c r="N12" i="16"/>
  <c r="M23" i="16"/>
  <c r="M48" i="16" s="1"/>
  <c r="L48" i="16"/>
  <c r="L50" i="16" s="1"/>
  <c r="L56" i="16" s="1"/>
  <c r="M49" i="16" s="1"/>
  <c r="AN49" i="20" l="1"/>
  <c r="AM67" i="20"/>
  <c r="AD9" i="20"/>
  <c r="AD6" i="20"/>
  <c r="AE12" i="20"/>
  <c r="AD25" i="20"/>
  <c r="AD58" i="20" s="1"/>
  <c r="AG59" i="20"/>
  <c r="AG68" i="20"/>
  <c r="Z57" i="20"/>
  <c r="Z60" i="20" s="1"/>
  <c r="Z62" i="20" s="1"/>
  <c r="Z63" i="20" s="1"/>
  <c r="AK29" i="20"/>
  <c r="AH54" i="20"/>
  <c r="AH66" i="20" s="1"/>
  <c r="H62" i="18"/>
  <c r="H71" i="18"/>
  <c r="I77" i="18"/>
  <c r="J69" i="18" s="1"/>
  <c r="J70" i="18" s="1"/>
  <c r="M50" i="16"/>
  <c r="M56" i="16" s="1"/>
  <c r="N49" i="16" s="1"/>
  <c r="O12" i="16"/>
  <c r="N23" i="16"/>
  <c r="N46" i="16"/>
  <c r="N52" i="16" s="1"/>
  <c r="O27" i="16"/>
  <c r="AO49" i="20" l="1"/>
  <c r="AN67" i="20"/>
  <c r="AE9" i="20"/>
  <c r="AE6" i="20"/>
  <c r="AF12" i="20"/>
  <c r="AE25" i="20"/>
  <c r="AE58" i="20" s="1"/>
  <c r="AH59" i="20"/>
  <c r="AH68" i="20"/>
  <c r="AA57" i="20"/>
  <c r="AA60" i="20" s="1"/>
  <c r="AA62" i="20" s="1"/>
  <c r="AA63" i="20" s="1"/>
  <c r="AI54" i="20"/>
  <c r="AI66" i="20" s="1"/>
  <c r="AL29" i="20"/>
  <c r="J77" i="18"/>
  <c r="K69" i="18" s="1"/>
  <c r="K70" i="18" s="1"/>
  <c r="O23" i="16"/>
  <c r="P12" i="16"/>
  <c r="P27" i="16"/>
  <c r="O46" i="16"/>
  <c r="O52" i="16" s="1"/>
  <c r="N48" i="16"/>
  <c r="N50" i="16" s="1"/>
  <c r="N56" i="16" s="1"/>
  <c r="O49" i="16" s="1"/>
  <c r="AP49" i="20" l="1"/>
  <c r="AO67" i="20"/>
  <c r="AF9" i="20"/>
  <c r="AF6" i="20"/>
  <c r="AF25" i="20"/>
  <c r="AF58" i="20" s="1"/>
  <c r="AG12" i="20"/>
  <c r="AI59" i="20"/>
  <c r="AI68" i="20"/>
  <c r="AB57" i="20"/>
  <c r="AB60" i="20" s="1"/>
  <c r="AB62" i="20" s="1"/>
  <c r="AB63" i="20" s="1"/>
  <c r="AM29" i="20"/>
  <c r="AJ54" i="20"/>
  <c r="AJ66" i="20" s="1"/>
  <c r="K77" i="18"/>
  <c r="L69" i="18" s="1"/>
  <c r="L70" i="18" s="1"/>
  <c r="P46" i="16"/>
  <c r="P52" i="16" s="1"/>
  <c r="Q27" i="16"/>
  <c r="P23" i="16"/>
  <c r="P48" i="16" s="1"/>
  <c r="Q12" i="16"/>
  <c r="O48" i="16"/>
  <c r="O50" i="16" s="1"/>
  <c r="O56" i="16" s="1"/>
  <c r="P49" i="16" s="1"/>
  <c r="AQ49" i="20" l="1"/>
  <c r="AP67" i="20"/>
  <c r="AG9" i="20"/>
  <c r="AG6" i="20"/>
  <c r="AH12" i="20"/>
  <c r="AG25" i="20"/>
  <c r="AG58" i="20" s="1"/>
  <c r="AJ59" i="20"/>
  <c r="AJ68" i="20"/>
  <c r="AC57" i="20"/>
  <c r="AC60" i="20" s="1"/>
  <c r="AC62" i="20" s="1"/>
  <c r="AC63" i="20" s="1"/>
  <c r="AN29" i="20"/>
  <c r="AK54" i="20"/>
  <c r="AK66" i="20" s="1"/>
  <c r="L77" i="18"/>
  <c r="M69" i="18" s="1"/>
  <c r="M70" i="18" s="1"/>
  <c r="R12" i="16"/>
  <c r="Q23" i="16"/>
  <c r="P50" i="16"/>
  <c r="P56" i="16" s="1"/>
  <c r="Q49" i="16" s="1"/>
  <c r="Q46" i="16"/>
  <c r="Q52" i="16" s="1"/>
  <c r="R27" i="16"/>
  <c r="AR49" i="20" l="1"/>
  <c r="AQ67" i="20"/>
  <c r="AH9" i="20"/>
  <c r="AH6" i="20"/>
  <c r="AI12" i="20"/>
  <c r="AH25" i="20"/>
  <c r="AH58" i="20" s="1"/>
  <c r="AK59" i="20"/>
  <c r="AK68" i="20"/>
  <c r="AD57" i="20"/>
  <c r="AD60" i="20" s="1"/>
  <c r="AD62" i="20" s="1"/>
  <c r="AD63" i="20" s="1"/>
  <c r="AL54" i="20"/>
  <c r="AL66" i="20" s="1"/>
  <c r="AO29" i="20"/>
  <c r="M77" i="18"/>
  <c r="N69" i="18" s="1"/>
  <c r="N70" i="18" s="1"/>
  <c r="Q48" i="16"/>
  <c r="Q50" i="16" s="1"/>
  <c r="Q56" i="16" s="1"/>
  <c r="R49" i="16" s="1"/>
  <c r="S27" i="16"/>
  <c r="R46" i="16"/>
  <c r="R52" i="16" s="1"/>
  <c r="S12" i="16"/>
  <c r="R23" i="16"/>
  <c r="R48" i="16" s="1"/>
  <c r="R50" i="16" s="1"/>
  <c r="R56" i="16" s="1"/>
  <c r="S49" i="16" s="1"/>
  <c r="AS49" i="20" l="1"/>
  <c r="AR67" i="20"/>
  <c r="AI9" i="20"/>
  <c r="AI6" i="20"/>
  <c r="AI25" i="20"/>
  <c r="AI58" i="20" s="1"/>
  <c r="AJ12" i="20"/>
  <c r="AL59" i="20"/>
  <c r="AL68" i="20"/>
  <c r="AE57" i="20"/>
  <c r="AE60" i="20" s="1"/>
  <c r="AE62" i="20" s="1"/>
  <c r="AE63" i="20" s="1"/>
  <c r="AM54" i="20"/>
  <c r="AM66" i="20" s="1"/>
  <c r="AP29" i="20"/>
  <c r="N77" i="18"/>
  <c r="O69" i="18" s="1"/>
  <c r="O70" i="18" s="1"/>
  <c r="S23" i="16"/>
  <c r="T12" i="16"/>
  <c r="T27" i="16"/>
  <c r="S46" i="16"/>
  <c r="S52" i="16" s="1"/>
  <c r="AS67" i="20" l="1"/>
  <c r="AT49" i="20"/>
  <c r="AJ9" i="20"/>
  <c r="AJ6" i="20"/>
  <c r="AJ25" i="20"/>
  <c r="AJ58" i="20" s="1"/>
  <c r="AK12" i="20"/>
  <c r="AM59" i="20"/>
  <c r="AM68" i="20"/>
  <c r="AF57" i="20"/>
  <c r="AF60" i="20" s="1"/>
  <c r="AF62" i="20" s="1"/>
  <c r="AF63" i="20" s="1"/>
  <c r="AQ29" i="20"/>
  <c r="AN54" i="20"/>
  <c r="AN66" i="20" s="1"/>
  <c r="U27" i="16"/>
  <c r="T46" i="16"/>
  <c r="T52" i="16" s="1"/>
  <c r="U12" i="16"/>
  <c r="T23" i="16"/>
  <c r="T48" i="16" s="1"/>
  <c r="T50" i="16" s="1"/>
  <c r="T56" i="16" s="1"/>
  <c r="U49" i="16" s="1"/>
  <c r="S48" i="16"/>
  <c r="S50" i="16" s="1"/>
  <c r="S56" i="16" s="1"/>
  <c r="T49" i="16" s="1"/>
  <c r="AU49" i="20" l="1"/>
  <c r="AT67" i="20"/>
  <c r="AK9" i="20"/>
  <c r="AK6" i="20"/>
  <c r="AK25" i="20"/>
  <c r="AK58" i="20" s="1"/>
  <c r="AL12" i="20"/>
  <c r="AN59" i="20"/>
  <c r="AN68" i="20"/>
  <c r="AG57" i="20"/>
  <c r="AG60" i="20" s="1"/>
  <c r="AG62" i="20" s="1"/>
  <c r="AG63" i="20" s="1"/>
  <c r="AR29" i="20"/>
  <c r="AO54" i="20"/>
  <c r="AO66" i="20" s="1"/>
  <c r="U23" i="16"/>
  <c r="V12" i="16"/>
  <c r="U46" i="16"/>
  <c r="U52" i="16" s="1"/>
  <c r="V27" i="16"/>
  <c r="AV49" i="20" l="1"/>
  <c r="AU67" i="20"/>
  <c r="AL9" i="20"/>
  <c r="AL6" i="20"/>
  <c r="AM12" i="20"/>
  <c r="AL25" i="20"/>
  <c r="AL58" i="20" s="1"/>
  <c r="AO59" i="20"/>
  <c r="AO68" i="20"/>
  <c r="AH57" i="20"/>
  <c r="AH60" i="20" s="1"/>
  <c r="AH62" i="20" s="1"/>
  <c r="AH63" i="20" s="1"/>
  <c r="AS29" i="20"/>
  <c r="AP54" i="20"/>
  <c r="AP66" i="20" s="1"/>
  <c r="W12" i="16"/>
  <c r="V23" i="16"/>
  <c r="V46" i="16"/>
  <c r="V52" i="16" s="1"/>
  <c r="W27" i="16"/>
  <c r="U48" i="16"/>
  <c r="U50" i="16" s="1"/>
  <c r="U56" i="16" s="1"/>
  <c r="V49" i="16" s="1"/>
  <c r="AW49" i="20" l="1"/>
  <c r="AV67" i="20"/>
  <c r="AM9" i="20"/>
  <c r="AM6" i="20"/>
  <c r="AN12" i="20"/>
  <c r="AM25" i="20"/>
  <c r="AM58" i="20" s="1"/>
  <c r="AP59" i="20"/>
  <c r="AP68" i="20"/>
  <c r="AI57" i="20"/>
  <c r="AI60" i="20" s="1"/>
  <c r="AI62" i="20" s="1"/>
  <c r="AI63" i="20" s="1"/>
  <c r="AQ54" i="20"/>
  <c r="AQ66" i="20" s="1"/>
  <c r="AT29" i="20"/>
  <c r="W23" i="16"/>
  <c r="X12" i="16"/>
  <c r="W46" i="16"/>
  <c r="W52" i="16" s="1"/>
  <c r="X27" i="16"/>
  <c r="V48" i="16"/>
  <c r="V50" i="16" s="1"/>
  <c r="V56" i="16" s="1"/>
  <c r="W49" i="16" s="1"/>
  <c r="AN9" i="20" l="1"/>
  <c r="AN6" i="20"/>
  <c r="AO12" i="20"/>
  <c r="AN25" i="20"/>
  <c r="AN58" i="20" s="1"/>
  <c r="AQ59" i="20"/>
  <c r="AQ68" i="20"/>
  <c r="AJ57" i="20"/>
  <c r="AJ60" i="20" s="1"/>
  <c r="AJ62" i="20" s="1"/>
  <c r="AJ63" i="20" s="1"/>
  <c r="AR54" i="20"/>
  <c r="AR66" i="20" s="1"/>
  <c r="AU29" i="20"/>
  <c r="Y12" i="16"/>
  <c r="X23" i="16"/>
  <c r="X48" i="16" s="1"/>
  <c r="X46" i="16"/>
  <c r="X52" i="16" s="1"/>
  <c r="Y27" i="16"/>
  <c r="W48" i="16"/>
  <c r="W50" i="16" s="1"/>
  <c r="W56" i="16" s="1"/>
  <c r="X49" i="16" s="1"/>
  <c r="AO9" i="20" l="1"/>
  <c r="AO6" i="20"/>
  <c r="AP12" i="20"/>
  <c r="AO25" i="20"/>
  <c r="AO58" i="20" s="1"/>
  <c r="AR59" i="20"/>
  <c r="AR68" i="20"/>
  <c r="AK57" i="20"/>
  <c r="AK60" i="20" s="1"/>
  <c r="AK62" i="20" s="1"/>
  <c r="AK63" i="20" s="1"/>
  <c r="AV29" i="20"/>
  <c r="AS54" i="20"/>
  <c r="AS66" i="20" s="1"/>
  <c r="Z27" i="16"/>
  <c r="Y46" i="16"/>
  <c r="Y52" i="16" s="1"/>
  <c r="X50" i="16"/>
  <c r="X56" i="16" s="1"/>
  <c r="Y49" i="16" s="1"/>
  <c r="Y23" i="16"/>
  <c r="Y48" i="16" s="1"/>
  <c r="Y50" i="16" s="1"/>
  <c r="Y56" i="16" s="1"/>
  <c r="Z49" i="16" s="1"/>
  <c r="Z12" i="16"/>
  <c r="AP9" i="20" l="1"/>
  <c r="AP6" i="20"/>
  <c r="AP25" i="20"/>
  <c r="AP58" i="20" s="1"/>
  <c r="AQ12" i="20"/>
  <c r="AS59" i="20"/>
  <c r="AS68" i="20"/>
  <c r="AL57" i="20"/>
  <c r="AL60" i="20" s="1"/>
  <c r="AL62" i="20" s="1"/>
  <c r="AL63" i="20" s="1"/>
  <c r="AT54" i="20"/>
  <c r="AT66" i="20" s="1"/>
  <c r="AW29" i="20"/>
  <c r="AA12" i="16"/>
  <c r="Z23" i="16"/>
  <c r="Z46" i="16"/>
  <c r="Z52" i="16" s="1"/>
  <c r="AA27" i="16"/>
  <c r="AQ9" i="20" l="1"/>
  <c r="AQ6" i="20"/>
  <c r="AR12" i="20"/>
  <c r="AQ25" i="20"/>
  <c r="AQ58" i="20" s="1"/>
  <c r="AT59" i="20"/>
  <c r="AT68" i="20"/>
  <c r="AM57" i="20"/>
  <c r="AM60" i="20" s="1"/>
  <c r="AM62" i="20" s="1"/>
  <c r="AM63" i="20" s="1"/>
  <c r="AU54" i="20"/>
  <c r="AU66" i="20" s="1"/>
  <c r="AA46" i="16"/>
  <c r="AA52" i="16" s="1"/>
  <c r="AB27" i="16"/>
  <c r="Z48" i="16"/>
  <c r="Z50" i="16" s="1"/>
  <c r="Z56" i="16" s="1"/>
  <c r="AA49" i="16" s="1"/>
  <c r="AA23" i="16"/>
  <c r="AA48" i="16" s="1"/>
  <c r="AB12" i="16"/>
  <c r="AR9" i="20" l="1"/>
  <c r="AR6" i="20"/>
  <c r="AS12" i="20"/>
  <c r="AR25" i="20"/>
  <c r="AR58" i="20" s="1"/>
  <c r="AU59" i="20"/>
  <c r="AU68" i="20"/>
  <c r="AN57" i="20"/>
  <c r="AN60" i="20" s="1"/>
  <c r="AN62" i="20" s="1"/>
  <c r="AN63" i="20" s="1"/>
  <c r="AV54" i="20"/>
  <c r="AV66" i="20" s="1"/>
  <c r="AA50" i="16"/>
  <c r="AA56" i="16" s="1"/>
  <c r="AB49" i="16" s="1"/>
  <c r="AC27" i="16"/>
  <c r="AB46" i="16"/>
  <c r="AB52" i="16" s="1"/>
  <c r="AB23" i="16"/>
  <c r="AC12" i="16"/>
  <c r="AS9" i="20" l="1"/>
  <c r="AS6" i="20"/>
  <c r="AS25" i="20"/>
  <c r="AS58" i="20" s="1"/>
  <c r="AT12" i="20"/>
  <c r="AV59" i="20"/>
  <c r="AV68" i="20"/>
  <c r="AO57" i="20"/>
  <c r="AO60" i="20" s="1"/>
  <c r="AO62" i="20" s="1"/>
  <c r="AO63" i="20" s="1"/>
  <c r="AW54" i="20"/>
  <c r="AW66" i="20" s="1"/>
  <c r="AD27" i="16"/>
  <c r="AC46" i="16"/>
  <c r="AC52" i="16" s="1"/>
  <c r="AD12" i="16"/>
  <c r="AC23" i="16"/>
  <c r="AC48" i="16" s="1"/>
  <c r="AB48" i="16"/>
  <c r="AB50" i="16" s="1"/>
  <c r="AB56" i="16" s="1"/>
  <c r="AC49" i="16" s="1"/>
  <c r="AT9" i="20" l="1"/>
  <c r="AT6" i="20"/>
  <c r="AU12" i="20"/>
  <c r="AT25" i="20"/>
  <c r="AT58" i="20" s="1"/>
  <c r="AW59" i="20"/>
  <c r="AW68" i="20"/>
  <c r="AP57" i="20"/>
  <c r="AP60" i="20" s="1"/>
  <c r="AP62" i="20" s="1"/>
  <c r="AP63" i="20" s="1"/>
  <c r="AE27" i="16"/>
  <c r="AD46" i="16"/>
  <c r="AD52" i="16" s="1"/>
  <c r="AC50" i="16"/>
  <c r="AC56" i="16" s="1"/>
  <c r="AD49" i="16" s="1"/>
  <c r="AD23" i="16"/>
  <c r="AD48" i="16" s="1"/>
  <c r="AE12" i="16"/>
  <c r="AU9" i="20" l="1"/>
  <c r="AU6" i="20"/>
  <c r="AV12" i="20"/>
  <c r="AU25" i="20"/>
  <c r="AU58" i="20" s="1"/>
  <c r="AQ57" i="20"/>
  <c r="AQ60" i="20" s="1"/>
  <c r="AQ62" i="20" s="1"/>
  <c r="AQ63" i="20" s="1"/>
  <c r="AE46" i="16"/>
  <c r="AE52" i="16" s="1"/>
  <c r="AF27" i="16"/>
  <c r="AE23" i="16"/>
  <c r="AE48" i="16" s="1"/>
  <c r="AF12" i="16"/>
  <c r="AD50" i="16"/>
  <c r="AD56" i="16" s="1"/>
  <c r="AE49" i="16" s="1"/>
  <c r="AV9" i="20" l="1"/>
  <c r="AV6" i="20"/>
  <c r="AV25" i="20"/>
  <c r="AV58" i="20" s="1"/>
  <c r="AW12" i="20"/>
  <c r="AR57" i="20"/>
  <c r="AR60" i="20" s="1"/>
  <c r="AR62" i="20" s="1"/>
  <c r="AR63" i="20" s="1"/>
  <c r="AF23" i="16"/>
  <c r="AG12" i="16"/>
  <c r="AE50" i="16"/>
  <c r="AE56" i="16" s="1"/>
  <c r="AF49" i="16" s="1"/>
  <c r="AG27" i="16"/>
  <c r="AF46" i="16"/>
  <c r="AF52" i="16" s="1"/>
  <c r="AW9" i="20" l="1"/>
  <c r="AW6" i="20"/>
  <c r="AW25" i="20"/>
  <c r="AW58" i="20" s="1"/>
  <c r="AS57" i="20"/>
  <c r="AS60" i="20" s="1"/>
  <c r="AS62" i="20" s="1"/>
  <c r="AS63" i="20" s="1"/>
  <c r="AH27" i="16"/>
  <c r="AG46" i="16"/>
  <c r="AG52" i="16" s="1"/>
  <c r="AG23" i="16"/>
  <c r="AG48" i="16" s="1"/>
  <c r="AH12" i="16"/>
  <c r="AF48" i="16"/>
  <c r="AF50" i="16" s="1"/>
  <c r="AF56" i="16" s="1"/>
  <c r="AG49" i="16" s="1"/>
  <c r="AT57" i="20" l="1"/>
  <c r="AT60" i="20" s="1"/>
  <c r="AT62" i="20" s="1"/>
  <c r="AT63" i="20" s="1"/>
  <c r="AG50" i="16"/>
  <c r="AG56" i="16" s="1"/>
  <c r="AH49" i="16" s="1"/>
  <c r="AI12" i="16"/>
  <c r="AH23" i="16"/>
  <c r="AI27" i="16"/>
  <c r="AH46" i="16"/>
  <c r="AU57" i="20" l="1"/>
  <c r="AU60" i="20" s="1"/>
  <c r="AU62" i="20" s="1"/>
  <c r="AU63" i="20" s="1"/>
  <c r="AH48" i="16"/>
  <c r="AH50" i="16" s="1"/>
  <c r="AH56" i="16" s="1"/>
  <c r="AI49" i="16" s="1"/>
  <c r="AJ27" i="16"/>
  <c r="AI46" i="16"/>
  <c r="AI23" i="16"/>
  <c r="AJ12" i="16"/>
  <c r="AV57" i="20" l="1"/>
  <c r="AV60" i="20" s="1"/>
  <c r="AV62" i="20" s="1"/>
  <c r="AV63" i="20" s="1"/>
  <c r="AI48" i="16"/>
  <c r="AI50" i="16" s="1"/>
  <c r="AI56" i="16" s="1"/>
  <c r="AJ49" i="16" s="1"/>
  <c r="AJ23" i="16"/>
  <c r="AK12" i="16"/>
  <c r="AK27" i="16"/>
  <c r="AJ46" i="16"/>
  <c r="AW57" i="20" l="1"/>
  <c r="AW60" i="20" s="1"/>
  <c r="AW62" i="20" s="1"/>
  <c r="AW63" i="20" s="1"/>
  <c r="AJ48" i="16"/>
  <c r="AJ50" i="16" s="1"/>
  <c r="AJ56" i="16" s="1"/>
  <c r="AK49" i="16" s="1"/>
  <c r="AL27" i="16"/>
  <c r="AK46" i="16"/>
  <c r="AL12" i="16"/>
  <c r="AK23" i="16"/>
  <c r="AK48" i="16" s="1"/>
  <c r="AK50" i="16" s="1"/>
  <c r="AK56" i="16" s="1"/>
  <c r="AL49" i="16" s="1"/>
  <c r="AL46" i="16" l="1"/>
  <c r="AM27" i="16"/>
  <c r="AL23" i="16"/>
  <c r="AL48" i="16" s="1"/>
  <c r="AL50" i="16" s="1"/>
  <c r="AL56" i="16" s="1"/>
  <c r="AM49" i="16" s="1"/>
  <c r="AM12" i="16"/>
  <c r="AN27" i="16" l="1"/>
  <c r="AM46" i="16"/>
  <c r="AM23" i="16"/>
  <c r="AM48" i="16" s="1"/>
  <c r="AM50" i="16" s="1"/>
  <c r="AM56" i="16" s="1"/>
  <c r="AN49" i="16" s="1"/>
  <c r="AN12" i="16"/>
  <c r="AO27" i="16" l="1"/>
  <c r="AN46" i="16"/>
  <c r="AO12" i="16"/>
  <c r="AN23" i="16"/>
  <c r="AN48" i="16" s="1"/>
  <c r="AN50" i="16" s="1"/>
  <c r="AN56" i="16" s="1"/>
  <c r="AO49" i="16" s="1"/>
  <c r="AP12" i="16" l="1"/>
  <c r="AO23" i="16"/>
  <c r="AP27" i="16"/>
  <c r="AO46" i="16"/>
  <c r="AP23" i="16" l="1"/>
  <c r="AQ12" i="16"/>
  <c r="AP46" i="16"/>
  <c r="AQ27" i="16"/>
  <c r="AO48" i="16"/>
  <c r="AO50" i="16" s="1"/>
  <c r="AO56" i="16" s="1"/>
  <c r="AP49" i="16" s="1"/>
  <c r="AR27" i="16" l="1"/>
  <c r="AQ46" i="16"/>
  <c r="AQ23" i="16"/>
  <c r="AQ48" i="16" s="1"/>
  <c r="AR12" i="16"/>
  <c r="AP48" i="16"/>
  <c r="AP50" i="16" s="1"/>
  <c r="AP56" i="16" s="1"/>
  <c r="AQ49" i="16" s="1"/>
  <c r="AR23" i="16" l="1"/>
  <c r="AR48" i="16" s="1"/>
  <c r="AS12" i="16"/>
  <c r="AQ50" i="16"/>
  <c r="AQ56" i="16" s="1"/>
  <c r="AR49" i="16" s="1"/>
  <c r="AS27" i="16"/>
  <c r="AR46" i="16"/>
  <c r="AT27" i="16" l="1"/>
  <c r="AS46" i="16"/>
  <c r="AT12" i="16"/>
  <c r="AS23" i="16"/>
  <c r="AR50" i="16"/>
  <c r="AR56" i="16" s="1"/>
  <c r="AS49" i="16" s="1"/>
  <c r="AU27" i="16" l="1"/>
  <c r="AT46" i="16"/>
  <c r="AS48" i="16"/>
  <c r="AS50" i="16" s="1"/>
  <c r="AS56" i="16" s="1"/>
  <c r="AT49" i="16" s="1"/>
  <c r="AU12" i="16"/>
  <c r="AT23" i="16"/>
  <c r="AT48" i="16" s="1"/>
  <c r="AT50" i="16" s="1"/>
  <c r="AT56" i="16" s="1"/>
  <c r="AU49" i="16" s="1"/>
  <c r="AU23" i="16" l="1"/>
  <c r="AV12" i="16"/>
  <c r="AV23" i="16" s="1"/>
  <c r="AU46" i="16"/>
  <c r="AV27" i="16"/>
  <c r="AV46" i="16" s="1"/>
  <c r="AV48" i="16" l="1"/>
  <c r="AU48" i="16"/>
  <c r="AU50" i="16" s="1"/>
  <c r="AU56" i="16" s="1"/>
  <c r="AV49" i="16" s="1"/>
  <c r="AV50" i="16" l="1"/>
  <c r="AV56" i="16" s="1"/>
</calcChain>
</file>

<file path=xl/comments1.xml><?xml version="1.0" encoding="utf-8"?>
<comments xmlns="http://schemas.openxmlformats.org/spreadsheetml/2006/main">
  <authors>
    <author>CH2M HILL</author>
  </authors>
  <commentList>
    <comment ref="G22" authorId="0">
      <text>
        <r>
          <rPr>
            <b/>
            <sz val="8"/>
            <color indexed="81"/>
            <rFont val="Tahoma"/>
            <family val="2"/>
          </rPr>
          <t>CH2M HILL:</t>
        </r>
        <r>
          <rPr>
            <sz val="8"/>
            <color indexed="81"/>
            <rFont val="Tahoma"/>
            <family val="2"/>
          </rPr>
          <t xml:space="preserve">
$1,200 per sewer tap
40 homes/year</t>
        </r>
      </text>
    </comment>
    <comment ref="H22" authorId="0">
      <text>
        <r>
          <rPr>
            <b/>
            <sz val="8"/>
            <color indexed="81"/>
            <rFont val="Tahoma"/>
            <family val="2"/>
          </rPr>
          <t>CH2M HILL:</t>
        </r>
        <r>
          <rPr>
            <sz val="8"/>
            <color indexed="81"/>
            <rFont val="Tahoma"/>
            <family val="2"/>
          </rPr>
          <t xml:space="preserve">
$1,200 per sewer tap
40 homes/year</t>
        </r>
      </text>
    </comment>
    <comment ref="I22" authorId="0">
      <text>
        <r>
          <rPr>
            <b/>
            <sz val="8"/>
            <color indexed="81"/>
            <rFont val="Tahoma"/>
            <family val="2"/>
          </rPr>
          <t>CH2M HILL:</t>
        </r>
        <r>
          <rPr>
            <sz val="8"/>
            <color indexed="81"/>
            <rFont val="Tahoma"/>
            <family val="2"/>
          </rPr>
          <t xml:space="preserve">
$1,600 per sewer tap
40 homes/year</t>
        </r>
      </text>
    </comment>
    <comment ref="J22" authorId="0">
      <text>
        <r>
          <rPr>
            <b/>
            <sz val="8"/>
            <color indexed="81"/>
            <rFont val="Tahoma"/>
            <family val="2"/>
          </rPr>
          <t>CH2M HILL:</t>
        </r>
        <r>
          <rPr>
            <sz val="8"/>
            <color indexed="81"/>
            <rFont val="Tahoma"/>
            <family val="2"/>
          </rPr>
          <t xml:space="preserve">
$1,600 per sewer tap
40 homes/year</t>
        </r>
      </text>
    </comment>
    <comment ref="K22" authorId="0">
      <text>
        <r>
          <rPr>
            <b/>
            <sz val="8"/>
            <color indexed="81"/>
            <rFont val="Tahoma"/>
            <family val="2"/>
          </rPr>
          <t>CH2M HILL:</t>
        </r>
        <r>
          <rPr>
            <sz val="8"/>
            <color indexed="81"/>
            <rFont val="Tahoma"/>
            <family val="2"/>
          </rPr>
          <t xml:space="preserve">
$2,000 per sewer tap
40 homes/year
From 2013 on.</t>
        </r>
      </text>
    </comment>
    <comment ref="E41" authorId="0">
      <text>
        <r>
          <rPr>
            <b/>
            <sz val="8"/>
            <color indexed="81"/>
            <rFont val="Tahoma"/>
            <family val="2"/>
          </rPr>
          <t>CH2M HILL:</t>
        </r>
        <r>
          <rPr>
            <sz val="8"/>
            <color indexed="81"/>
            <rFont val="Tahoma"/>
            <family val="2"/>
          </rPr>
          <t xml:space="preserve">
Last year of Debt</t>
        </r>
      </text>
    </comment>
    <comment ref="E42" authorId="0">
      <text>
        <r>
          <rPr>
            <b/>
            <sz val="8"/>
            <color indexed="81"/>
            <rFont val="Tahoma"/>
            <family val="2"/>
          </rPr>
          <t>CH2M HILL:</t>
        </r>
        <r>
          <rPr>
            <sz val="8"/>
            <color indexed="81"/>
            <rFont val="Tahoma"/>
            <family val="2"/>
          </rPr>
          <t xml:space="preserve">
Last year of Debt</t>
        </r>
      </text>
    </comment>
  </commentList>
</comments>
</file>

<file path=xl/comments2.xml><?xml version="1.0" encoding="utf-8"?>
<comments xmlns="http://schemas.openxmlformats.org/spreadsheetml/2006/main">
  <authors>
    <author>Sterling, Winford/COL</author>
  </authors>
  <commentList>
    <comment ref="P3" authorId="0">
      <text>
        <r>
          <rPr>
            <b/>
            <sz val="9"/>
            <color indexed="81"/>
            <rFont val="Tahoma"/>
            <family val="2"/>
          </rPr>
          <t>Sterling, Winford/COL:</t>
        </r>
        <r>
          <rPr>
            <sz val="9"/>
            <color indexed="81"/>
            <rFont val="Tahoma"/>
            <family val="2"/>
          </rPr>
          <t xml:space="preserve">
</t>
        </r>
        <r>
          <rPr>
            <sz val="9"/>
            <color indexed="10"/>
            <rFont val="Tahoma"/>
            <family val="2"/>
          </rPr>
          <t>RATE INCREASE BEGINS</t>
        </r>
        <r>
          <rPr>
            <sz val="9"/>
            <color indexed="81"/>
            <rFont val="Tahoma"/>
            <family val="2"/>
          </rPr>
          <t xml:space="preserve">
</t>
        </r>
      </text>
    </comment>
    <comment ref="D10" authorId="0">
      <text>
        <r>
          <rPr>
            <b/>
            <sz val="9"/>
            <color indexed="81"/>
            <rFont val="Tahoma"/>
            <family val="2"/>
          </rPr>
          <t>Sterling, Winford/COL:</t>
        </r>
        <r>
          <rPr>
            <sz val="9"/>
            <color indexed="81"/>
            <rFont val="Tahoma"/>
            <family val="2"/>
          </rPr>
          <t xml:space="preserve">
Data populated from hand written ledger sheet from WCH. </t>
        </r>
      </text>
    </comment>
    <comment ref="A23" authorId="0">
      <text>
        <r>
          <rPr>
            <b/>
            <sz val="9"/>
            <color indexed="81"/>
            <rFont val="Tahoma"/>
            <family val="2"/>
          </rPr>
          <t>Sterling, Winford/COL:</t>
        </r>
        <r>
          <rPr>
            <sz val="9"/>
            <color indexed="81"/>
            <rFont val="Tahoma"/>
            <family val="2"/>
          </rPr>
          <t xml:space="preserve">
New Row</t>
        </r>
      </text>
    </comment>
    <comment ref="A24" authorId="0">
      <text>
        <r>
          <rPr>
            <b/>
            <sz val="9"/>
            <color indexed="81"/>
            <rFont val="Tahoma"/>
            <family val="2"/>
          </rPr>
          <t>Sterling, Winford/COL:</t>
        </r>
        <r>
          <rPr>
            <sz val="9"/>
            <color indexed="81"/>
            <rFont val="Tahoma"/>
            <family val="2"/>
          </rPr>
          <t xml:space="preserve">
New Row</t>
        </r>
      </text>
    </comment>
    <comment ref="N27" authorId="0">
      <text>
        <r>
          <rPr>
            <b/>
            <sz val="9"/>
            <color indexed="81"/>
            <rFont val="Tahoma"/>
            <family val="2"/>
          </rPr>
          <t>Sterling, Winford/COL:</t>
        </r>
        <r>
          <rPr>
            <sz val="9"/>
            <color indexed="81"/>
            <rFont val="Tahoma"/>
            <family val="2"/>
          </rPr>
          <t xml:space="preserve">
2015 Values are predicted based on 2005 to 2014 Data provided by City.  
</t>
        </r>
      </text>
    </comment>
    <comment ref="N29" authorId="0">
      <text>
        <r>
          <rPr>
            <b/>
            <sz val="9"/>
            <color indexed="81"/>
            <rFont val="Tahoma"/>
            <family val="2"/>
          </rPr>
          <t>Sterling, Winford/COL:</t>
        </r>
        <r>
          <rPr>
            <sz val="9"/>
            <color indexed="81"/>
            <rFont val="Tahoma"/>
            <family val="2"/>
          </rPr>
          <t xml:space="preserve">
This is a solid number with little variation.  Use 2014 value plus an additional 1/14(2014 Value) to account for new employee #15. </t>
        </r>
      </text>
    </comment>
    <comment ref="N32" authorId="0">
      <text>
        <r>
          <rPr>
            <b/>
            <sz val="9"/>
            <color indexed="81"/>
            <rFont val="Tahoma"/>
            <family val="2"/>
          </rPr>
          <t>Sterling, Winford/COL:</t>
        </r>
        <r>
          <rPr>
            <sz val="9"/>
            <color indexed="81"/>
            <rFont val="Tahoma"/>
            <family val="2"/>
          </rPr>
          <t xml:space="preserve">
This is a solid number with little variation.  Use 2014 value plus an additional 2x(2014 Value) to account for new employees #3 and 4. </t>
        </r>
      </text>
    </comment>
    <comment ref="N43" authorId="0">
      <text>
        <r>
          <rPr>
            <b/>
            <sz val="9"/>
            <color indexed="81"/>
            <rFont val="Tahoma"/>
            <family val="2"/>
          </rPr>
          <t>Sterling, Winford/COL:</t>
        </r>
        <r>
          <rPr>
            <sz val="9"/>
            <color indexed="81"/>
            <rFont val="Tahoma"/>
            <family val="2"/>
          </rPr>
          <t xml:space="preserve">
Use $0 because this category has shown no activity since 2007</t>
        </r>
      </text>
    </comment>
    <comment ref="N44" authorId="0">
      <text>
        <r>
          <rPr>
            <b/>
            <sz val="9"/>
            <color indexed="81"/>
            <rFont val="Tahoma"/>
            <family val="2"/>
          </rPr>
          <t>Sterling, Winford/COL:</t>
        </r>
        <r>
          <rPr>
            <sz val="9"/>
            <color indexed="81"/>
            <rFont val="Tahoma"/>
            <family val="2"/>
          </rPr>
          <t xml:space="preserve">
Use $0 because this category has shown no activity since 2007</t>
        </r>
      </text>
    </comment>
    <comment ref="A45" authorId="0">
      <text>
        <r>
          <rPr>
            <b/>
            <sz val="9"/>
            <color indexed="81"/>
            <rFont val="Tahoma"/>
            <family val="2"/>
          </rPr>
          <t>Sterling, Winford/COL:</t>
        </r>
        <r>
          <rPr>
            <sz val="9"/>
            <color indexed="81"/>
            <rFont val="Tahoma"/>
            <family val="2"/>
          </rPr>
          <t xml:space="preserve">
New Row</t>
        </r>
      </text>
    </comment>
    <comment ref="A70" authorId="0">
      <text>
        <r>
          <rPr>
            <b/>
            <sz val="9"/>
            <color indexed="81"/>
            <rFont val="Tahoma"/>
            <family val="2"/>
          </rPr>
          <t>Sterling, Winford/COL:</t>
        </r>
        <r>
          <rPr>
            <sz val="9"/>
            <color indexed="81"/>
            <rFont val="Tahoma"/>
            <family val="2"/>
          </rPr>
          <t xml:space="preserve">
This is Unexpended Balance WITH proposed Loan payments and fees considered. </t>
        </r>
      </text>
    </comment>
    <comment ref="A71" authorId="0">
      <text>
        <r>
          <rPr>
            <b/>
            <sz val="9"/>
            <color indexed="81"/>
            <rFont val="Tahoma"/>
            <family val="2"/>
          </rPr>
          <t>Sterling, Winford/COL:</t>
        </r>
        <r>
          <rPr>
            <sz val="9"/>
            <color indexed="81"/>
            <rFont val="Tahoma"/>
            <family val="2"/>
          </rPr>
          <t xml:space="preserve">
Calculauted below in "City Statement of Cash Position" cells.  
This is actual cash in the bank. Encumbered cash (money owed) is not considered for this value.  
</t>
        </r>
      </text>
    </comment>
  </commentList>
</comments>
</file>

<file path=xl/comments3.xml><?xml version="1.0" encoding="utf-8"?>
<comments xmlns="http://schemas.openxmlformats.org/spreadsheetml/2006/main">
  <authors>
    <author>Sterling, Winford/COL</author>
  </authors>
  <commentList>
    <comment ref="A14" authorId="0">
      <text>
        <r>
          <rPr>
            <b/>
            <sz val="9"/>
            <color indexed="81"/>
            <rFont val="Tahoma"/>
            <family val="2"/>
          </rPr>
          <t>Sterling, Winford/COL:</t>
        </r>
        <r>
          <rPr>
            <sz val="9"/>
            <color indexed="81"/>
            <rFont val="Tahoma"/>
            <family val="2"/>
          </rPr>
          <t xml:space="preserve">
New Row</t>
        </r>
      </text>
    </comment>
    <comment ref="A15" authorId="0">
      <text>
        <r>
          <rPr>
            <b/>
            <sz val="9"/>
            <color indexed="81"/>
            <rFont val="Tahoma"/>
            <family val="2"/>
          </rPr>
          <t>Sterling, Winford/COL:</t>
        </r>
        <r>
          <rPr>
            <sz val="9"/>
            <color indexed="81"/>
            <rFont val="Tahoma"/>
            <family val="2"/>
          </rPr>
          <t xml:space="preserve">
New Row</t>
        </r>
      </text>
    </comment>
    <comment ref="A36" authorId="0">
      <text>
        <r>
          <rPr>
            <b/>
            <sz val="9"/>
            <color indexed="81"/>
            <rFont val="Tahoma"/>
            <family val="2"/>
          </rPr>
          <t>Sterling, Winford/COL:</t>
        </r>
        <r>
          <rPr>
            <sz val="9"/>
            <color indexed="81"/>
            <rFont val="Tahoma"/>
            <family val="2"/>
          </rPr>
          <t xml:space="preserve">
New Row</t>
        </r>
      </text>
    </comment>
  </commentList>
</comments>
</file>

<file path=xl/comments4.xml><?xml version="1.0" encoding="utf-8"?>
<comments xmlns="http://schemas.openxmlformats.org/spreadsheetml/2006/main">
  <authors>
    <author>Sterling, Winford/COL</author>
  </authors>
  <commentList>
    <comment ref="P3" authorId="0">
      <text>
        <r>
          <rPr>
            <b/>
            <sz val="9"/>
            <color indexed="81"/>
            <rFont val="Tahoma"/>
            <family val="2"/>
          </rPr>
          <t>Sterling, Winford/COL:</t>
        </r>
        <r>
          <rPr>
            <sz val="9"/>
            <color indexed="81"/>
            <rFont val="Tahoma"/>
            <family val="2"/>
          </rPr>
          <t xml:space="preserve">
</t>
        </r>
        <r>
          <rPr>
            <sz val="9"/>
            <color indexed="10"/>
            <rFont val="Tahoma"/>
            <family val="2"/>
          </rPr>
          <t>RATE INCREASE BEGINS</t>
        </r>
        <r>
          <rPr>
            <sz val="9"/>
            <color indexed="81"/>
            <rFont val="Tahoma"/>
            <family val="2"/>
          </rPr>
          <t xml:space="preserve">
</t>
        </r>
      </text>
    </comment>
    <comment ref="D10" authorId="0">
      <text>
        <r>
          <rPr>
            <b/>
            <sz val="9"/>
            <color indexed="81"/>
            <rFont val="Tahoma"/>
            <family val="2"/>
          </rPr>
          <t>Sterling, Winford/COL:</t>
        </r>
        <r>
          <rPr>
            <sz val="9"/>
            <color indexed="81"/>
            <rFont val="Tahoma"/>
            <family val="2"/>
          </rPr>
          <t xml:space="preserve">
Data populated from hand written ledger sheet from WCH. </t>
        </r>
      </text>
    </comment>
    <comment ref="O11" authorId="0">
      <text>
        <r>
          <rPr>
            <b/>
            <sz val="9"/>
            <color indexed="81"/>
            <rFont val="Tahoma"/>
            <family val="2"/>
          </rPr>
          <t>Sterling, Winford/COL:</t>
        </r>
        <r>
          <rPr>
            <sz val="9"/>
            <color indexed="81"/>
            <rFont val="Tahoma"/>
            <family val="2"/>
          </rPr>
          <t xml:space="preserve">
Value = Avg of preceding 4 years</t>
        </r>
      </text>
    </comment>
    <comment ref="O12" authorId="0">
      <text>
        <r>
          <rPr>
            <b/>
            <sz val="9"/>
            <color indexed="81"/>
            <rFont val="Tahoma"/>
            <family val="2"/>
          </rPr>
          <t>Sterling, Winford/COL:</t>
        </r>
        <r>
          <rPr>
            <sz val="9"/>
            <color indexed="81"/>
            <rFont val="Tahoma"/>
            <family val="2"/>
          </rPr>
          <t xml:space="preserve">
Value = Avg of preceding 4 years</t>
        </r>
      </text>
    </comment>
    <comment ref="O13" authorId="0">
      <text>
        <r>
          <rPr>
            <b/>
            <sz val="9"/>
            <color indexed="81"/>
            <rFont val="Tahoma"/>
            <family val="2"/>
          </rPr>
          <t>Sterling, Winford/COL:</t>
        </r>
        <r>
          <rPr>
            <sz val="9"/>
            <color indexed="81"/>
            <rFont val="Tahoma"/>
            <family val="2"/>
          </rPr>
          <t xml:space="preserve">
Value = Avg of preceding 4 years</t>
        </r>
      </text>
    </comment>
    <comment ref="O14" authorId="0">
      <text>
        <r>
          <rPr>
            <b/>
            <sz val="9"/>
            <color indexed="81"/>
            <rFont val="Tahoma"/>
            <family val="2"/>
          </rPr>
          <t>Sterling, Winford/COL:</t>
        </r>
        <r>
          <rPr>
            <sz val="9"/>
            <color indexed="81"/>
            <rFont val="Tahoma"/>
            <family val="2"/>
          </rPr>
          <t xml:space="preserve">
Value = Avg of preceding 4 years</t>
        </r>
      </text>
    </comment>
    <comment ref="N16" authorId="0">
      <text>
        <r>
          <rPr>
            <b/>
            <sz val="9"/>
            <color indexed="81"/>
            <rFont val="Tahoma"/>
            <family val="2"/>
          </rPr>
          <t>Sterling, Winford/COL:</t>
        </r>
        <r>
          <rPr>
            <sz val="9"/>
            <color indexed="81"/>
            <rFont val="Tahoma"/>
            <family val="2"/>
          </rPr>
          <t xml:space="preserve">
Is this one and the same as "industrial users" 4152200?</t>
        </r>
      </text>
    </comment>
    <comment ref="O16" authorId="0">
      <text>
        <r>
          <rPr>
            <b/>
            <sz val="9"/>
            <color indexed="81"/>
            <rFont val="Tahoma"/>
            <family val="2"/>
          </rPr>
          <t>Sterling, Winford/COL:</t>
        </r>
        <r>
          <rPr>
            <sz val="9"/>
            <color indexed="81"/>
            <rFont val="Tahoma"/>
            <family val="2"/>
          </rPr>
          <t xml:space="preserve">
Value = Avg of preceding 4 years</t>
        </r>
      </text>
    </comment>
    <comment ref="O17" authorId="0">
      <text>
        <r>
          <rPr>
            <b/>
            <sz val="9"/>
            <color indexed="81"/>
            <rFont val="Tahoma"/>
            <family val="2"/>
          </rPr>
          <t>Sterling, Winford/COL:</t>
        </r>
        <r>
          <rPr>
            <sz val="9"/>
            <color indexed="81"/>
            <rFont val="Tahoma"/>
            <family val="2"/>
          </rPr>
          <t xml:space="preserve">
Value = Avg of preceding 4 years</t>
        </r>
      </text>
    </comment>
    <comment ref="N18" authorId="0">
      <text>
        <r>
          <rPr>
            <b/>
            <sz val="9"/>
            <color indexed="81"/>
            <rFont val="Tahoma"/>
            <family val="2"/>
          </rPr>
          <t>Sterling, Winford/COL:</t>
        </r>
        <r>
          <rPr>
            <sz val="9"/>
            <color indexed="81"/>
            <rFont val="Tahoma"/>
            <family val="2"/>
          </rPr>
          <t xml:space="preserve">
Verify if this is one and the same as "Other Sewer Revenue"</t>
        </r>
      </text>
    </comment>
    <comment ref="O18" authorId="0">
      <text>
        <r>
          <rPr>
            <b/>
            <sz val="9"/>
            <color indexed="81"/>
            <rFont val="Tahoma"/>
            <family val="2"/>
          </rPr>
          <t>Sterling, Winford/COL:</t>
        </r>
        <r>
          <rPr>
            <sz val="9"/>
            <color indexed="81"/>
            <rFont val="Tahoma"/>
            <family val="2"/>
          </rPr>
          <t xml:space="preserve">
Value = Avg of preceding 4 years</t>
        </r>
      </text>
    </comment>
    <comment ref="O19" authorId="0">
      <text>
        <r>
          <rPr>
            <b/>
            <sz val="9"/>
            <color indexed="81"/>
            <rFont val="Tahoma"/>
            <family val="2"/>
          </rPr>
          <t>Sterling, Winford/COL:</t>
        </r>
        <r>
          <rPr>
            <sz val="9"/>
            <color indexed="81"/>
            <rFont val="Tahoma"/>
            <family val="2"/>
          </rPr>
          <t xml:space="preserve">
Value = Avg of preceding 4 years</t>
        </r>
      </text>
    </comment>
    <comment ref="N20" authorId="0">
      <text>
        <r>
          <rPr>
            <b/>
            <sz val="9"/>
            <color indexed="81"/>
            <rFont val="Tahoma"/>
            <family val="2"/>
          </rPr>
          <t>Sterling, Winford/COL:</t>
        </r>
        <r>
          <rPr>
            <sz val="9"/>
            <color indexed="81"/>
            <rFont val="Tahoma"/>
            <family val="2"/>
          </rPr>
          <t xml:space="preserve">
3-yr average of 2012-2014</t>
        </r>
      </text>
    </comment>
    <comment ref="O21" authorId="0">
      <text>
        <r>
          <rPr>
            <b/>
            <sz val="9"/>
            <color indexed="81"/>
            <rFont val="Tahoma"/>
            <family val="2"/>
          </rPr>
          <t>Sterling, Winford/COL:</t>
        </r>
        <r>
          <rPr>
            <sz val="9"/>
            <color indexed="81"/>
            <rFont val="Tahoma"/>
            <family val="2"/>
          </rPr>
          <t xml:space="preserve">
Value = Avg of 4 active 
years</t>
        </r>
      </text>
    </comment>
    <comment ref="O22" authorId="0">
      <text>
        <r>
          <rPr>
            <b/>
            <sz val="9"/>
            <color indexed="81"/>
            <rFont val="Tahoma"/>
            <family val="2"/>
          </rPr>
          <t>Sterling, Winford/COL:</t>
        </r>
        <r>
          <rPr>
            <sz val="9"/>
            <color indexed="81"/>
            <rFont val="Tahoma"/>
            <family val="2"/>
          </rPr>
          <t xml:space="preserve">
Value = Avg of preceding 4 years</t>
        </r>
      </text>
    </comment>
    <comment ref="A23" authorId="0">
      <text>
        <r>
          <rPr>
            <b/>
            <sz val="9"/>
            <color indexed="81"/>
            <rFont val="Tahoma"/>
            <family val="2"/>
          </rPr>
          <t>Sterling, Winford/COL:</t>
        </r>
        <r>
          <rPr>
            <sz val="9"/>
            <color indexed="81"/>
            <rFont val="Tahoma"/>
            <family val="2"/>
          </rPr>
          <t xml:space="preserve">
New Row</t>
        </r>
      </text>
    </comment>
    <comment ref="A24" authorId="0">
      <text>
        <r>
          <rPr>
            <b/>
            <sz val="9"/>
            <color indexed="81"/>
            <rFont val="Tahoma"/>
            <family val="2"/>
          </rPr>
          <t>Sterling, Winford/COL:</t>
        </r>
        <r>
          <rPr>
            <sz val="9"/>
            <color indexed="81"/>
            <rFont val="Tahoma"/>
            <family val="2"/>
          </rPr>
          <t xml:space="preserve">
New Row</t>
        </r>
      </text>
    </comment>
    <comment ref="Q29" authorId="0">
      <text>
        <r>
          <rPr>
            <b/>
            <sz val="9"/>
            <color indexed="81"/>
            <rFont val="Tahoma"/>
            <family val="2"/>
          </rPr>
          <t>Sterling, Winford/COL:</t>
        </r>
        <r>
          <rPr>
            <sz val="9"/>
            <color indexed="81"/>
            <rFont val="Tahoma"/>
            <family val="2"/>
          </rPr>
          <t xml:space="preserve">
Employee #15 is hired.  Use 2017 value plus an additional 1/14(2017 Value) to account for new employee #15. </t>
        </r>
      </text>
    </comment>
    <comment ref="O30" authorId="0">
      <text>
        <r>
          <rPr>
            <b/>
            <sz val="9"/>
            <color indexed="81"/>
            <rFont val="Tahoma"/>
            <family val="2"/>
          </rPr>
          <t>Sterling, Winford/COL:</t>
        </r>
        <r>
          <rPr>
            <sz val="9"/>
            <color indexed="81"/>
            <rFont val="Tahoma"/>
            <family val="2"/>
          </rPr>
          <t xml:space="preserve">
Value = Avg of preceding 4 years</t>
        </r>
      </text>
    </comment>
    <comment ref="Q32" authorId="0">
      <text>
        <r>
          <rPr>
            <b/>
            <sz val="9"/>
            <color indexed="81"/>
            <rFont val="Tahoma"/>
            <family val="2"/>
          </rPr>
          <t>Sterling, Winford/COL:</t>
        </r>
        <r>
          <rPr>
            <sz val="9"/>
            <color indexed="81"/>
            <rFont val="Tahoma"/>
            <family val="2"/>
          </rPr>
          <t xml:space="preserve">
Employees #3 and #4 are hired. Value=Projected cost of 4 employees based on 2014 values. See CALC in Notebook</t>
        </r>
      </text>
    </comment>
    <comment ref="O33" authorId="0">
      <text>
        <r>
          <rPr>
            <b/>
            <sz val="9"/>
            <color indexed="81"/>
            <rFont val="Tahoma"/>
            <family val="2"/>
          </rPr>
          <t>Sterling, Winford/COL:</t>
        </r>
        <r>
          <rPr>
            <sz val="9"/>
            <color indexed="81"/>
            <rFont val="Tahoma"/>
            <family val="2"/>
          </rPr>
          <t xml:space="preserve">
Value = Avg of preceding 4 years</t>
        </r>
      </text>
    </comment>
    <comment ref="O36" authorId="0">
      <text>
        <r>
          <rPr>
            <b/>
            <sz val="9"/>
            <color indexed="81"/>
            <rFont val="Tahoma"/>
            <family val="2"/>
          </rPr>
          <t>Sterling, Winford/COL:</t>
        </r>
        <r>
          <rPr>
            <sz val="9"/>
            <color indexed="81"/>
            <rFont val="Tahoma"/>
            <family val="2"/>
          </rPr>
          <t xml:space="preserve">
Value = Avg of preceding 4 years</t>
        </r>
      </text>
    </comment>
    <comment ref="N39" authorId="0">
      <text>
        <r>
          <rPr>
            <b/>
            <sz val="9"/>
            <color indexed="81"/>
            <rFont val="Tahoma"/>
            <family val="2"/>
          </rPr>
          <t>Sterling, Winford/COL:</t>
        </r>
        <r>
          <rPr>
            <sz val="9"/>
            <color indexed="81"/>
            <rFont val="Tahoma"/>
            <family val="2"/>
          </rPr>
          <t xml:space="preserve">
Based on values provided by Washington Court House</t>
        </r>
      </text>
    </comment>
    <comment ref="T39" authorId="0">
      <text>
        <r>
          <rPr>
            <b/>
            <sz val="9"/>
            <color indexed="81"/>
            <rFont val="Tahoma"/>
            <family val="2"/>
          </rPr>
          <t>Sterling, Winford/COL:</t>
        </r>
        <r>
          <rPr>
            <sz val="9"/>
            <color indexed="81"/>
            <rFont val="Tahoma"/>
            <family val="2"/>
          </rPr>
          <t xml:space="preserve">
Existing (2563) OWDA Loans End</t>
        </r>
      </text>
    </comment>
    <comment ref="N40" authorId="0">
      <text>
        <r>
          <rPr>
            <b/>
            <sz val="9"/>
            <color indexed="81"/>
            <rFont val="Tahoma"/>
            <family val="2"/>
          </rPr>
          <t>Sterling, Winford/COL:</t>
        </r>
        <r>
          <rPr>
            <sz val="9"/>
            <color indexed="81"/>
            <rFont val="Tahoma"/>
            <family val="2"/>
          </rPr>
          <t xml:space="preserve">
Based on values provided by Washington Court House</t>
        </r>
      </text>
    </comment>
    <comment ref="O45" authorId="0">
      <text>
        <r>
          <rPr>
            <b/>
            <sz val="9"/>
            <color indexed="81"/>
            <rFont val="Tahoma"/>
            <family val="2"/>
          </rPr>
          <t>Sterling, Winford/COL:</t>
        </r>
        <r>
          <rPr>
            <sz val="9"/>
            <color indexed="81"/>
            <rFont val="Tahoma"/>
            <family val="2"/>
          </rPr>
          <t xml:space="preserve">
Value = Avg of preceding 4 years</t>
        </r>
      </text>
    </comment>
    <comment ref="O47" authorId="0">
      <text>
        <r>
          <rPr>
            <b/>
            <sz val="9"/>
            <color indexed="81"/>
            <rFont val="Tahoma"/>
            <family val="2"/>
          </rPr>
          <t>Sterling, Winford/COL:</t>
        </r>
        <r>
          <rPr>
            <sz val="9"/>
            <color indexed="81"/>
            <rFont val="Tahoma"/>
            <family val="2"/>
          </rPr>
          <t xml:space="preserve">
Value = Avg of preceding 4 years</t>
        </r>
      </text>
    </comment>
    <comment ref="A52" authorId="0">
      <text>
        <r>
          <rPr>
            <b/>
            <sz val="9"/>
            <color indexed="81"/>
            <rFont val="Tahoma"/>
            <family val="2"/>
          </rPr>
          <t>Sterling, Winford/COL:</t>
        </r>
        <r>
          <rPr>
            <sz val="9"/>
            <color indexed="81"/>
            <rFont val="Tahoma"/>
            <family val="2"/>
          </rPr>
          <t xml:space="preserve">
Beginning in 2016, this category combines $100K from "Contribution to 192500" and adds it to $75K of "Miscellaneous Sewer Projects"</t>
        </r>
      </text>
    </comment>
    <comment ref="O52" authorId="0">
      <text>
        <r>
          <rPr>
            <b/>
            <sz val="9"/>
            <color indexed="81"/>
            <rFont val="Tahoma"/>
            <family val="2"/>
          </rPr>
          <t>Sterling, Winford/COL:</t>
        </r>
        <r>
          <rPr>
            <sz val="9"/>
            <color indexed="81"/>
            <rFont val="Tahoma"/>
            <family val="2"/>
          </rPr>
          <t xml:space="preserve">
$100K has been moved from O42 to O52</t>
        </r>
      </text>
    </comment>
    <comment ref="N61" authorId="0">
      <text>
        <r>
          <rPr>
            <b/>
            <sz val="9"/>
            <color indexed="81"/>
            <rFont val="Tahoma"/>
            <family val="2"/>
          </rPr>
          <t>Sterling, Winford/COL:</t>
        </r>
        <r>
          <rPr>
            <sz val="9"/>
            <color indexed="81"/>
            <rFont val="Tahoma"/>
            <family val="2"/>
          </rPr>
          <t xml:space="preserve">
This value cannot be predicted and must be supplied by WCH on an annual basis. 
HOWEVER, the value is not important for this study.  It can be assumed any oustanding encumbrance of the currrent year will be accounted for in the expenses of next year.  </t>
        </r>
      </text>
    </comment>
    <comment ref="A73" authorId="0">
      <text>
        <r>
          <rPr>
            <b/>
            <sz val="9"/>
            <color indexed="81"/>
            <rFont val="Tahoma"/>
            <family val="2"/>
          </rPr>
          <t>Sterling, Winford/COL:</t>
        </r>
        <r>
          <rPr>
            <sz val="9"/>
            <color indexed="81"/>
            <rFont val="Tahoma"/>
            <family val="2"/>
          </rPr>
          <t xml:space="preserve">
This is Unexpended Balance WITH proposed Loan payments and fees considered. </t>
        </r>
      </text>
    </comment>
    <comment ref="A74" authorId="0">
      <text>
        <r>
          <rPr>
            <b/>
            <sz val="9"/>
            <color indexed="81"/>
            <rFont val="Tahoma"/>
            <family val="2"/>
          </rPr>
          <t>Sterling, Winford/COL:</t>
        </r>
        <r>
          <rPr>
            <sz val="9"/>
            <color indexed="81"/>
            <rFont val="Tahoma"/>
            <family val="2"/>
          </rPr>
          <t xml:space="preserve">
Calculauted below in "City Statement of Cash Position" cells.  
This is actual cash in the bank. Encumbered cash (money owed) is not considered for this value.  
</t>
        </r>
      </text>
    </comment>
  </commentList>
</comments>
</file>

<file path=xl/sharedStrings.xml><?xml version="1.0" encoding="utf-8"?>
<sst xmlns="http://schemas.openxmlformats.org/spreadsheetml/2006/main" count="682" uniqueCount="206">
  <si>
    <t>LOAN ALTERNATIVE</t>
  </si>
  <si>
    <t>PROJECT COST</t>
  </si>
  <si>
    <t>FIRST LOAN PAYMENT DUE</t>
  </si>
  <si>
    <t>CONSTRUCTION COMPLETED</t>
  </si>
  <si>
    <t>OWDA ADMIN FEE (.35% OF PROJECT COST)</t>
  </si>
  <si>
    <t>ADMIN FEE DUE AT LOAN CONST LOAN INIATION</t>
  </si>
  <si>
    <t>Alternate 1</t>
  </si>
  <si>
    <t>Alternate 2</t>
  </si>
  <si>
    <t>Alternate 3, Phase 1</t>
  </si>
  <si>
    <t>Alternate 3, Phase 2</t>
  </si>
  <si>
    <t>LOAN INTEREST</t>
  </si>
  <si>
    <t>LOAN DURATION (YEARS)</t>
  </si>
  <si>
    <t>November 2009</t>
  </si>
  <si>
    <t>November 2012</t>
  </si>
  <si>
    <t>November 2017</t>
  </si>
  <si>
    <t>EXISTING LOANS</t>
  </si>
  <si>
    <t>PROJECT CO732</t>
  </si>
  <si>
    <t xml:space="preserve">Annual </t>
  </si>
  <si>
    <t>Payment</t>
  </si>
  <si>
    <t xml:space="preserve">Due </t>
  </si>
  <si>
    <t>January 1</t>
  </si>
  <si>
    <t>July 1</t>
  </si>
  <si>
    <t xml:space="preserve">Last </t>
  </si>
  <si>
    <t>OWDA WWTP Loan</t>
  </si>
  <si>
    <t>ITEM/YEAR</t>
  </si>
  <si>
    <t>% Consumption increase</t>
  </si>
  <si>
    <t>Interest</t>
  </si>
  <si>
    <t>Set-Up-Fee</t>
  </si>
  <si>
    <t>Tap-In-Fee</t>
  </si>
  <si>
    <t>Delinquent Sewerage Charges</t>
  </si>
  <si>
    <t>Sewerage Charges</t>
  </si>
  <si>
    <t>Misc</t>
  </si>
  <si>
    <t>Industrial Pretreatment</t>
  </si>
  <si>
    <t>MIPP Charges</t>
  </si>
  <si>
    <t>Insurance CO-Payments</t>
  </si>
  <si>
    <t>Septic Dump</t>
  </si>
  <si>
    <t>Impact Fees</t>
  </si>
  <si>
    <t>Transfers</t>
  </si>
  <si>
    <t>Customers</t>
  </si>
  <si>
    <t>Sewage Plant</t>
  </si>
  <si>
    <t>Other Expense</t>
  </si>
  <si>
    <t>Sewage Maintenance</t>
  </si>
  <si>
    <t>Sewage Billing</t>
  </si>
  <si>
    <t>Other Administration</t>
  </si>
  <si>
    <t>Professional Services</t>
  </si>
  <si>
    <t>IND Note Prin</t>
  </si>
  <si>
    <t>Transfer to Bond Prin</t>
  </si>
  <si>
    <t>Transfer to Bond Int</t>
  </si>
  <si>
    <t>County Auditor Deductions</t>
  </si>
  <si>
    <t>Cty Auditor &amp;Treas. Fees</t>
  </si>
  <si>
    <t>REVENUE</t>
  </si>
  <si>
    <t>EXPENSES</t>
  </si>
  <si>
    <t>WASHINGTON CH RATE EVALUATION</t>
  </si>
  <si>
    <t>OWDA Loan Admin Fee</t>
  </si>
  <si>
    <t>OWDA Loan</t>
  </si>
  <si>
    <t>Budget</t>
  </si>
  <si>
    <t>Alternative 1 Loan</t>
  </si>
  <si>
    <t>% Cost increase per year</t>
  </si>
  <si>
    <t>Year End Balance</t>
  </si>
  <si>
    <t>Total Revenue</t>
  </si>
  <si>
    <t>Total Expense</t>
  </si>
  <si>
    <t>Prior Year Carryover</t>
  </si>
  <si>
    <t>Year End Cash Position</t>
  </si>
  <si>
    <t>Monthly Sewerage Cost</t>
  </si>
  <si>
    <t>City Statement of Cash</t>
  </si>
  <si>
    <t>Loan Terms</t>
  </si>
  <si>
    <t>Years</t>
  </si>
  <si>
    <t>Interest rate</t>
  </si>
  <si>
    <t>Annual Payment</t>
  </si>
  <si>
    <t>Semi-Annual Payment</t>
  </si>
  <si>
    <t>Alternative 1</t>
  </si>
  <si>
    <t>Alternative 2</t>
  </si>
  <si>
    <t>Alt 3, Phase 1</t>
  </si>
  <si>
    <t>Alt 3, Phase 2</t>
  </si>
  <si>
    <t>Year End Balance W/OWDA Loan</t>
  </si>
  <si>
    <t xml:space="preserve">Loan Amount in 2008 </t>
  </si>
  <si>
    <t>Loan Origination</t>
  </si>
  <si>
    <t>Inflation Rate</t>
  </si>
  <si>
    <t>Loan Amount in Origination Year with noted inflation</t>
  </si>
  <si>
    <t xml:space="preserve">Loan Payback Starting at </t>
  </si>
  <si>
    <t>2014</t>
  </si>
  <si>
    <t>2019</t>
  </si>
  <si>
    <t>Beginning Balance</t>
  </si>
  <si>
    <t>Y-T-D Expense</t>
  </si>
  <si>
    <t>Unexpended Balance</t>
  </si>
  <si>
    <t>Ending Balance</t>
  </si>
  <si>
    <t>Y-T-D Revenue</t>
  </si>
  <si>
    <t>City Statement of Cash Position</t>
  </si>
  <si>
    <t>Alternative Total Cost</t>
  </si>
  <si>
    <t>Differences in Annual Amts</t>
  </si>
  <si>
    <t>Revenue</t>
  </si>
  <si>
    <t>Expense</t>
  </si>
  <si>
    <t>OWDA AMT Due Jan 1 Plus 4 Months Operating Budget</t>
  </si>
  <si>
    <t>Historical Inflation Data</t>
  </si>
  <si>
    <t>Annual Avg</t>
  </si>
  <si>
    <t>Year</t>
  </si>
  <si>
    <t>NA</t>
  </si>
  <si>
    <t>% Revenue Increase</t>
  </si>
  <si>
    <t>No Alternative</t>
  </si>
  <si>
    <t>0</t>
  </si>
  <si>
    <t>No Alternate</t>
  </si>
  <si>
    <t>Assumptions</t>
  </si>
  <si>
    <t>1. 25 year OWDA Loan</t>
  </si>
  <si>
    <t>2. Interest rate at 5.28%</t>
  </si>
  <si>
    <t>3. No growth, fixed customers</t>
  </si>
  <si>
    <t>4. O&amp;M costs increase by 5% per year</t>
  </si>
  <si>
    <t>5. Review capital costs only for the new projects, except the Pump Station</t>
  </si>
  <si>
    <t>6. Review several rate increases over time</t>
  </si>
  <si>
    <t>7. Account for debt being retired</t>
  </si>
  <si>
    <t>8. Set-Up Fee equals $45,000 forever</t>
  </si>
  <si>
    <t>9. Tap-In Fee, use 40 homes per year.</t>
  </si>
  <si>
    <t>10. On revenue do not project new customers, New Taps = Move Outs</t>
  </si>
  <si>
    <t>Actual</t>
  </si>
  <si>
    <t>Personal Services</t>
  </si>
  <si>
    <t>Contribution to 192400</t>
  </si>
  <si>
    <t>Contribution to 192500</t>
  </si>
  <si>
    <t>Outstanding Encumbrance</t>
  </si>
  <si>
    <t>Timeline for raising and collecting Rates on January 1, 2009</t>
  </si>
  <si>
    <t>2. Council Readings 2 and 3 on September 10 and 24, 2008</t>
  </si>
  <si>
    <t>4. Meters read with new rate structure starting November 1, 2008</t>
  </si>
  <si>
    <t>5. Billings mailed on December 1, 2008</t>
  </si>
  <si>
    <t>6. Billings collected on January 1, 2009</t>
  </si>
  <si>
    <t>3. 30 days after Council approves, Rate Ordinance takes effect on October 24, 2008</t>
  </si>
  <si>
    <t>1. Rate Ordinance presented to Council and first reading on August 27, 2008</t>
  </si>
  <si>
    <t>Other</t>
  </si>
  <si>
    <t>Workers Comp  Rebate</t>
  </si>
  <si>
    <t>Sewer Note Int</t>
  </si>
  <si>
    <t>B</t>
  </si>
  <si>
    <t>I</t>
  </si>
  <si>
    <t>D</t>
  </si>
  <si>
    <t>E</t>
  </si>
  <si>
    <t>G</t>
  </si>
  <si>
    <t>J</t>
  </si>
  <si>
    <t>K</t>
  </si>
  <si>
    <t>L</t>
  </si>
  <si>
    <t>A (n)</t>
  </si>
  <si>
    <t>F = H/(12*B)</t>
  </si>
  <si>
    <t>Notes: Delete this column when finished</t>
  </si>
  <si>
    <t>budget value based on % revenue increase</t>
  </si>
  <si>
    <t>sum (x11:y24)</t>
  </si>
  <si>
    <t>H=N12*(1+O8)</t>
  </si>
  <si>
    <r>
      <t>C = (H</t>
    </r>
    <r>
      <rPr>
        <vertAlign val="subscript"/>
        <sz val="10"/>
        <rFont val="Arial"/>
        <family val="2"/>
      </rPr>
      <t>n-1</t>
    </r>
    <r>
      <rPr>
        <sz val="10"/>
        <rFont val="Arial"/>
        <family val="2"/>
      </rPr>
      <t>/H</t>
    </r>
    <r>
      <rPr>
        <vertAlign val="subscript"/>
        <sz val="10"/>
        <rFont val="Arial"/>
        <family val="2"/>
      </rPr>
      <t>n</t>
    </r>
    <r>
      <rPr>
        <sz val="10"/>
        <rFont val="Arial"/>
        <family val="2"/>
      </rPr>
      <t>)-1</t>
    </r>
  </si>
  <si>
    <t>M</t>
  </si>
  <si>
    <t>N</t>
  </si>
  <si>
    <t>O</t>
  </si>
  <si>
    <t>P=M+N-O</t>
  </si>
  <si>
    <t>City Auditor &amp;Treasurer Fees</t>
  </si>
  <si>
    <t>Alternative 1 Loan Annual Payment</t>
  </si>
  <si>
    <t>Unexpended Balance w/o Loans</t>
  </si>
  <si>
    <t>Year End Balance=YTD Rev-Exp</t>
  </si>
  <si>
    <t>Year End Cash Position w/ Loans</t>
  </si>
  <si>
    <t>$2000 per connection</t>
  </si>
  <si>
    <t>$25 per account</t>
  </si>
  <si>
    <t>Avg $ per Year</t>
  </si>
  <si>
    <t>Predicted</t>
  </si>
  <si>
    <t>SECAP Phase 1 Items</t>
  </si>
  <si>
    <t>NON-SECAP Items</t>
  </si>
  <si>
    <t>Miscellaneous Sewer Projects</t>
  </si>
  <si>
    <t>Avg $/Yr Rounded</t>
  </si>
  <si>
    <t>Recommended Cash Reserve</t>
  </si>
  <si>
    <t>Recommended Ending Balance</t>
  </si>
  <si>
    <t>Avg $ per Yr: 2012-2014</t>
  </si>
  <si>
    <t>Avg $ per Yr: 2012-2014 Rnd</t>
  </si>
  <si>
    <t>Rate Inc Begins</t>
  </si>
  <si>
    <t>New Expenses Begin</t>
  </si>
  <si>
    <t>4 Months Operating Budget +</t>
  </si>
  <si>
    <t>OWDA Payments =</t>
  </si>
  <si>
    <t>Beginning Balance +</t>
  </si>
  <si>
    <t>Y-T-D Revenue -</t>
  </si>
  <si>
    <t>Y-T-D Expense =</t>
  </si>
  <si>
    <t>Unexpended Balance (cash on hand) -</t>
  </si>
  <si>
    <t>Outstanding Encumbrance =</t>
  </si>
  <si>
    <t>Existing OWDA Loans End</t>
  </si>
  <si>
    <t>User determined value</t>
  </si>
  <si>
    <t>WCH supplied value. Assume no growth</t>
  </si>
  <si>
    <t>Municipal Industrial Pre-Treatment Program</t>
  </si>
  <si>
    <t>Loan Amount</t>
  </si>
  <si>
    <t>Rate Increase (%)</t>
  </si>
  <si>
    <t>Cost increase (%)</t>
  </si>
  <si>
    <t>Revenue Change (%)</t>
  </si>
  <si>
    <t>OWDA Loan Annual Payment</t>
  </si>
  <si>
    <t>Change in Ending Balance ($)</t>
  </si>
  <si>
    <t>Origination Fee Executed</t>
  </si>
  <si>
    <t>New OWDA Loan Repayment Begins</t>
  </si>
  <si>
    <t>Construction Yr 2</t>
  </si>
  <si>
    <t>Construction Yr 3</t>
  </si>
  <si>
    <t>Construction Yr 1</t>
  </si>
  <si>
    <t>Construction Yr 4</t>
  </si>
  <si>
    <t>Loan Origination Year</t>
  </si>
  <si>
    <t>Loan Payback Begins</t>
  </si>
  <si>
    <t>Construction Duration (Years)</t>
  </si>
  <si>
    <t>Loan Amount to be Repayed</t>
  </si>
  <si>
    <t>CONSTRUCTION</t>
  </si>
  <si>
    <t>LOAN TERMS</t>
  </si>
  <si>
    <t>Total Cost</t>
  </si>
  <si>
    <t>Payments</t>
  </si>
  <si>
    <t>NEW OWDA LOAN ENDS</t>
  </si>
  <si>
    <t>Capitalized Interest 2022</t>
  </si>
  <si>
    <t>Capitalized Interest 2023</t>
  </si>
  <si>
    <t>Capitalized Interest 2024</t>
  </si>
  <si>
    <t>Capitalized Interest 2025</t>
  </si>
  <si>
    <t>CHANGE LOG</t>
  </si>
  <si>
    <t>Predicted Revenue &amp; Expenses: Cells O42:AW42 moved to, and added to, cells O52:AW52</t>
  </si>
  <si>
    <t>Contribuition 192500 + Misc Sewer Projects</t>
  </si>
  <si>
    <t>Septic Dump (is this = Other Sewer Revenue?)</t>
  </si>
  <si>
    <t>Miscellaneous 4184000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</si>
</sst>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quot;$&quot;* #,##0_);_(&quot;$&quot;* \(#,##0\);_(&quot;$&quot;* &quot;-&quot;??_);_(@_)"/>
    <numFmt numFmtId="168" formatCode="0_);\(0\)"/>
  </numFmts>
  <fonts count="36" x14ac:knownFonts="1">
    <font>
      <sz val="10"/>
      <name val="Arial"/>
    </font>
    <font>
      <sz val="8"/>
      <name val="Arial"/>
      <family val="2"/>
    </font>
    <font>
      <sz val="10"/>
      <color indexed="12"/>
      <name val="Arial"/>
      <family val="2"/>
    </font>
    <font>
      <sz val="10"/>
      <color indexed="20"/>
      <name val="Arial"/>
      <family val="2"/>
    </font>
    <font>
      <b/>
      <sz val="10"/>
      <color indexed="12"/>
      <name val="Arial"/>
      <family val="2"/>
    </font>
    <font>
      <b/>
      <sz val="10"/>
      <color indexed="20"/>
      <name val="Arial"/>
      <family val="2"/>
    </font>
    <font>
      <b/>
      <sz val="8"/>
      <color indexed="81"/>
      <name val="Tahoma"/>
      <family val="2"/>
    </font>
    <font>
      <sz val="8"/>
      <color indexed="81"/>
      <name val="Tahoma"/>
      <family val="2"/>
    </font>
    <font>
      <b/>
      <sz val="10"/>
      <color indexed="12"/>
      <name val="Arial"/>
      <family val="2"/>
    </font>
    <font>
      <sz val="10"/>
      <color indexed="12"/>
      <name val="Arial"/>
      <family val="2"/>
    </font>
    <font>
      <sz val="10"/>
      <name val="Arial"/>
      <family val="2"/>
    </font>
    <font>
      <b/>
      <sz val="10"/>
      <name val="Arial"/>
      <family val="2"/>
    </font>
    <font>
      <sz val="10"/>
      <color indexed="10"/>
      <name val="Arial"/>
      <family val="2"/>
    </font>
    <font>
      <sz val="10"/>
      <color indexed="10"/>
      <name val="Arial"/>
      <family val="2"/>
    </font>
    <font>
      <sz val="10"/>
      <color indexed="17"/>
      <name val="Arial"/>
      <family val="2"/>
    </font>
    <font>
      <sz val="9"/>
      <color indexed="81"/>
      <name val="Tahoma"/>
      <family val="2"/>
    </font>
    <font>
      <b/>
      <sz val="9"/>
      <color indexed="81"/>
      <name val="Tahoma"/>
      <family val="2"/>
    </font>
    <font>
      <sz val="10"/>
      <name val="Arial"/>
      <family val="2"/>
    </font>
    <font>
      <vertAlign val="subscript"/>
      <sz val="10"/>
      <name val="Arial"/>
      <family val="2"/>
    </font>
    <font>
      <b/>
      <sz val="10"/>
      <name val="Arial"/>
      <family val="2"/>
    </font>
    <font>
      <u/>
      <sz val="10"/>
      <color rgb="FF7030A0"/>
      <name val="Arial"/>
      <family val="2"/>
    </font>
    <font>
      <u/>
      <sz val="10"/>
      <name val="Arial"/>
      <family val="2"/>
    </font>
    <font>
      <b/>
      <sz val="11"/>
      <color rgb="FFFA7D00"/>
      <name val="Calibri"/>
      <family val="2"/>
      <scheme val="minor"/>
    </font>
    <font>
      <sz val="10"/>
      <color rgb="FFC00000"/>
      <name val="Arial"/>
      <family val="2"/>
    </font>
    <font>
      <sz val="10"/>
      <color theme="8" tint="-0.499984740745262"/>
      <name val="Arial"/>
      <family val="2"/>
    </font>
    <font>
      <u/>
      <sz val="10"/>
      <color rgb="FFC00000"/>
      <name val="Arial"/>
      <family val="2"/>
    </font>
    <font>
      <b/>
      <sz val="10"/>
      <color rgb="FFC00000"/>
      <name val="Arial"/>
      <family val="2"/>
    </font>
    <font>
      <sz val="9"/>
      <color indexed="10"/>
      <name val="Tahoma"/>
      <family val="2"/>
    </font>
    <font>
      <sz val="10"/>
      <color rgb="FF0070C0"/>
      <name val="Arial"/>
      <family val="2"/>
    </font>
    <font>
      <sz val="10"/>
      <color theme="9" tint="-0.499984740745262"/>
      <name val="Arial"/>
      <family val="2"/>
    </font>
    <font>
      <b/>
      <sz val="10"/>
      <color rgb="FF7030A0"/>
      <name val="Arial"/>
      <family val="2"/>
    </font>
    <font>
      <sz val="10"/>
      <color rgb="FF7030A0"/>
      <name val="Arial"/>
      <family val="2"/>
    </font>
    <font>
      <sz val="11"/>
      <color rgb="FF006100"/>
      <name val="Calibri"/>
      <family val="2"/>
      <scheme val="minor"/>
    </font>
    <font>
      <sz val="11"/>
      <color rgb="FF9C0006"/>
      <name val="Calibri"/>
      <family val="2"/>
      <scheme val="minor"/>
    </font>
    <font>
      <sz val="11"/>
      <name val="Calibri"/>
      <family val="2"/>
      <scheme val="minor"/>
    </font>
    <font>
      <b/>
      <i/>
      <sz val="10"/>
      <name val="Arial"/>
      <family val="2"/>
    </font>
  </fonts>
  <fills count="14">
    <fill>
      <patternFill patternType="none"/>
    </fill>
    <fill>
      <patternFill patternType="gray125"/>
    </fill>
    <fill>
      <patternFill patternType="solid">
        <fgColor theme="0" tint="-0.249977111117893"/>
        <bgColor auto="1"/>
      </patternFill>
    </fill>
    <fill>
      <patternFill patternType="solid">
        <fgColor theme="0" tint="-0.249977111117893"/>
        <bgColor indexed="64"/>
      </patternFill>
    </fill>
    <fill>
      <patternFill patternType="solid">
        <fgColor rgb="FFF2F2F2"/>
      </patternFill>
    </fill>
    <fill>
      <patternFill patternType="solid">
        <fgColor rgb="FFFFFF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FFCC"/>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s>
  <borders count="35">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rgb="FF7F7F7F"/>
      </right>
      <top style="thin">
        <color rgb="FF7F7F7F"/>
      </top>
      <bottom style="thin">
        <color rgb="FF7F7F7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indexed="64"/>
      </right>
      <top style="thin">
        <color auto="1"/>
      </top>
      <bottom style="hair">
        <color auto="1"/>
      </bottom>
      <diagonal/>
    </border>
    <border>
      <left style="thin">
        <color auto="1"/>
      </left>
      <right style="thin">
        <color indexed="64"/>
      </right>
      <top style="hair">
        <color auto="1"/>
      </top>
      <bottom style="hair">
        <color auto="1"/>
      </bottom>
      <diagonal/>
    </border>
    <border>
      <left style="thin">
        <color auto="1"/>
      </left>
      <right style="thin">
        <color indexed="64"/>
      </right>
      <top style="hair">
        <color auto="1"/>
      </top>
      <bottom style="thin">
        <color indexed="64"/>
      </bottom>
      <diagonal/>
    </border>
  </borders>
  <cellStyleXfs count="8">
    <xf numFmtId="0" fontId="0" fillId="0" borderId="0"/>
    <xf numFmtId="9" fontId="17" fillId="0" borderId="0" applyFont="0" applyFill="0" applyBorder="0" applyAlignment="0" applyProtection="0"/>
    <xf numFmtId="0" fontId="22" fillId="4" borderId="23" applyNumberFormat="0" applyAlignment="0" applyProtection="0"/>
    <xf numFmtId="43" fontId="17" fillId="0" borderId="0" applyFont="0" applyFill="0" applyBorder="0" applyAlignment="0" applyProtection="0"/>
    <xf numFmtId="44" fontId="17" fillId="0" borderId="0" applyFont="0" applyFill="0" applyBorder="0" applyAlignment="0" applyProtection="0"/>
    <xf numFmtId="0" fontId="32" fillId="8" borderId="0" applyNumberFormat="0" applyBorder="0" applyAlignment="0" applyProtection="0"/>
    <xf numFmtId="0" fontId="33" fillId="9" borderId="0" applyNumberFormat="0" applyBorder="0" applyAlignment="0" applyProtection="0"/>
    <xf numFmtId="0" fontId="17" fillId="10" borderId="24" applyNumberFormat="0" applyFont="0" applyAlignment="0" applyProtection="0"/>
  </cellStyleXfs>
  <cellXfs count="238">
    <xf numFmtId="0" fontId="0" fillId="0" borderId="0" xfId="0"/>
    <xf numFmtId="0" fontId="0" fillId="0" borderId="0" xfId="0" applyAlignment="1">
      <alignment horizontal="center" wrapText="1"/>
    </xf>
    <xf numFmtId="10" fontId="0" fillId="0" borderId="0" xfId="0" applyNumberFormat="1" applyAlignment="1">
      <alignment horizontal="center"/>
    </xf>
    <xf numFmtId="0" fontId="0" fillId="0" borderId="0" xfId="0" applyAlignment="1">
      <alignment horizontal="center"/>
    </xf>
    <xf numFmtId="164" fontId="0" fillId="0" borderId="0" xfId="0" applyNumberFormat="1" applyAlignment="1">
      <alignment horizontal="center"/>
    </xf>
    <xf numFmtId="49" fontId="0" fillId="0" borderId="0" xfId="0" applyNumberFormat="1" applyAlignment="1">
      <alignment horizontal="center"/>
    </xf>
    <xf numFmtId="165" fontId="0" fillId="0" borderId="0" xfId="0" applyNumberFormat="1" applyAlignment="1">
      <alignment horizontal="center"/>
    </xf>
    <xf numFmtId="14" fontId="0" fillId="0" borderId="0" xfId="0" applyNumberFormat="1"/>
    <xf numFmtId="14" fontId="0" fillId="0" borderId="0" xfId="0" applyNumberFormat="1" applyAlignment="1">
      <alignment horizontal="center"/>
    </xf>
    <xf numFmtId="0" fontId="0" fillId="0" borderId="1" xfId="0" applyBorder="1" applyAlignment="1">
      <alignment wrapText="1"/>
    </xf>
    <xf numFmtId="0" fontId="0" fillId="0" borderId="2" xfId="0" applyBorder="1"/>
    <xf numFmtId="0" fontId="2" fillId="0" borderId="3" xfId="0" applyFont="1" applyBorder="1" applyAlignment="1">
      <alignment wrapText="1"/>
    </xf>
    <xf numFmtId="166" fontId="3" fillId="0" borderId="0" xfId="0" applyNumberFormat="1" applyFont="1" applyBorder="1"/>
    <xf numFmtId="10" fontId="2" fillId="0" borderId="0" xfId="0" applyNumberFormat="1" applyFont="1" applyBorder="1"/>
    <xf numFmtId="10" fontId="3" fillId="0" borderId="0" xfId="0" applyNumberFormat="1" applyFont="1" applyBorder="1"/>
    <xf numFmtId="164" fontId="2" fillId="0" borderId="0" xfId="0" applyNumberFormat="1" applyFont="1" applyBorder="1"/>
    <xf numFmtId="164" fontId="3" fillId="0" borderId="0" xfId="0" applyNumberFormat="1" applyFont="1" applyBorder="1"/>
    <xf numFmtId="164" fontId="4" fillId="0" borderId="0" xfId="0" applyNumberFormat="1" applyFont="1" applyBorder="1"/>
    <xf numFmtId="164" fontId="5" fillId="0" borderId="0" xfId="0" applyNumberFormat="1" applyFont="1" applyBorder="1"/>
    <xf numFmtId="164" fontId="2" fillId="1" borderId="0" xfId="0" applyNumberFormat="1" applyFont="1" applyFill="1" applyBorder="1"/>
    <xf numFmtId="164" fontId="3" fillId="1" borderId="0" xfId="0" applyNumberFormat="1" applyFont="1" applyFill="1" applyBorder="1"/>
    <xf numFmtId="0" fontId="4" fillId="0" borderId="4" xfId="0" applyFont="1" applyBorder="1" applyAlignment="1">
      <alignment wrapText="1"/>
    </xf>
    <xf numFmtId="0" fontId="4" fillId="0" borderId="4" xfId="0" applyFont="1" applyBorder="1" applyAlignment="1">
      <alignment horizontal="center" wrapText="1"/>
    </xf>
    <xf numFmtId="164" fontId="2" fillId="1" borderId="5" xfId="0" applyNumberFormat="1" applyFont="1" applyFill="1" applyBorder="1" applyAlignment="1">
      <alignment wrapText="1"/>
    </xf>
    <xf numFmtId="164" fontId="2" fillId="1" borderId="6" xfId="0" applyNumberFormat="1" applyFont="1" applyFill="1" applyBorder="1"/>
    <xf numFmtId="164" fontId="3" fillId="1" borderId="6" xfId="0" applyNumberFormat="1" applyFont="1" applyFill="1" applyBorder="1"/>
    <xf numFmtId="165" fontId="2" fillId="0" borderId="0" xfId="0" applyNumberFormat="1" applyFont="1" applyBorder="1"/>
    <xf numFmtId="0" fontId="2" fillId="0" borderId="0" xfId="0" applyFont="1" applyBorder="1" applyAlignment="1">
      <alignment wrapText="1"/>
    </xf>
    <xf numFmtId="0" fontId="0" fillId="0" borderId="7" xfId="0" applyBorder="1" applyAlignment="1">
      <alignment wrapText="1"/>
    </xf>
    <xf numFmtId="0" fontId="0" fillId="0" borderId="8" xfId="0" applyBorder="1"/>
    <xf numFmtId="0" fontId="0" fillId="0" borderId="2" xfId="0" applyBorder="1" applyAlignment="1">
      <alignment wrapText="1"/>
    </xf>
    <xf numFmtId="164" fontId="2" fillId="0" borderId="0" xfId="0" applyNumberFormat="1" applyFont="1" applyBorder="1" applyAlignment="1">
      <alignment wrapText="1"/>
    </xf>
    <xf numFmtId="0" fontId="4" fillId="0" borderId="0" xfId="0" applyFont="1" applyBorder="1" applyAlignment="1">
      <alignment horizontal="center" wrapText="1"/>
    </xf>
    <xf numFmtId="0" fontId="4" fillId="0" borderId="0" xfId="0" applyFont="1" applyBorder="1" applyAlignment="1">
      <alignment wrapText="1"/>
    </xf>
    <xf numFmtId="164" fontId="2" fillId="1" borderId="6" xfId="0" applyNumberFormat="1" applyFont="1" applyFill="1" applyBorder="1" applyAlignment="1">
      <alignment wrapText="1"/>
    </xf>
    <xf numFmtId="0" fontId="0" fillId="0" borderId="9" xfId="0" applyBorder="1" applyAlignment="1">
      <alignment wrapText="1"/>
    </xf>
    <xf numFmtId="0" fontId="0" fillId="0" borderId="3" xfId="0" applyBorder="1" applyAlignment="1">
      <alignment wrapText="1"/>
    </xf>
    <xf numFmtId="0" fontId="0" fillId="0" borderId="0" xfId="0" applyBorder="1" applyAlignment="1">
      <alignment wrapText="1"/>
    </xf>
    <xf numFmtId="0" fontId="0" fillId="0" borderId="0" xfId="0" applyBorder="1"/>
    <xf numFmtId="0" fontId="2" fillId="0" borderId="4" xfId="0" applyFont="1" applyBorder="1" applyAlignment="1">
      <alignment horizontal="right" wrapText="1"/>
    </xf>
    <xf numFmtId="0" fontId="8" fillId="0" borderId="4" xfId="0" applyFont="1" applyBorder="1" applyAlignment="1">
      <alignment wrapText="1"/>
    </xf>
    <xf numFmtId="0" fontId="8" fillId="0" borderId="3" xfId="0" applyFont="1" applyBorder="1" applyAlignment="1">
      <alignment wrapText="1"/>
    </xf>
    <xf numFmtId="0" fontId="2" fillId="0" borderId="3" xfId="0" applyFont="1" applyBorder="1" applyAlignment="1">
      <alignment horizontal="right" wrapText="1"/>
    </xf>
    <xf numFmtId="0" fontId="2" fillId="0" borderId="3" xfId="0" applyNumberFormat="1" applyFont="1" applyBorder="1" applyAlignment="1">
      <alignment horizontal="right" wrapText="1"/>
    </xf>
    <xf numFmtId="164" fontId="2" fillId="0" borderId="3" xfId="0" applyNumberFormat="1" applyFont="1" applyBorder="1" applyAlignment="1">
      <alignment horizontal="right" wrapText="1"/>
    </xf>
    <xf numFmtId="0" fontId="4" fillId="0" borderId="5" xfId="0" applyFont="1" applyBorder="1" applyAlignment="1">
      <alignment horizontal="left" wrapText="1"/>
    </xf>
    <xf numFmtId="164" fontId="4" fillId="0" borderId="0" xfId="0" applyNumberFormat="1" applyFont="1" applyBorder="1" applyAlignment="1">
      <alignment wrapText="1"/>
    </xf>
    <xf numFmtId="164" fontId="2" fillId="1" borderId="0" xfId="0" applyNumberFormat="1" applyFont="1" applyFill="1" applyBorder="1" applyAlignment="1">
      <alignment horizontal="center"/>
    </xf>
    <xf numFmtId="164" fontId="2" fillId="0" borderId="0" xfId="0" applyNumberFormat="1" applyFont="1" applyFill="1" applyBorder="1" applyAlignment="1">
      <alignment wrapText="1"/>
    </xf>
    <xf numFmtId="0" fontId="0" fillId="0" borderId="10" xfId="0" applyBorder="1"/>
    <xf numFmtId="0" fontId="9" fillId="0" borderId="4" xfId="0" applyFont="1" applyBorder="1" applyAlignment="1">
      <alignment horizontal="right" wrapText="1"/>
    </xf>
    <xf numFmtId="0" fontId="8" fillId="0" borderId="11" xfId="0" applyFont="1" applyBorder="1" applyAlignment="1">
      <alignment wrapText="1"/>
    </xf>
    <xf numFmtId="10" fontId="2" fillId="0" borderId="0" xfId="0" applyNumberFormat="1" applyFont="1" applyBorder="1" applyAlignment="1">
      <alignment wrapText="1"/>
    </xf>
    <xf numFmtId="164" fontId="9" fillId="0" borderId="0" xfId="0" applyNumberFormat="1" applyFont="1" applyBorder="1" applyAlignment="1">
      <alignment horizontal="right" wrapText="1"/>
    </xf>
    <xf numFmtId="164" fontId="8" fillId="0" borderId="0" xfId="0" applyNumberFormat="1" applyFont="1" applyBorder="1" applyAlignment="1">
      <alignment wrapText="1"/>
    </xf>
    <xf numFmtId="164" fontId="0" fillId="0" borderId="0" xfId="0" applyNumberFormat="1"/>
    <xf numFmtId="164" fontId="10" fillId="0" borderId="0" xfId="0" applyNumberFormat="1" applyFont="1" applyBorder="1" applyAlignment="1">
      <alignment wrapText="1"/>
    </xf>
    <xf numFmtId="165" fontId="3" fillId="0" borderId="0" xfId="0" applyNumberFormat="1" applyFont="1" applyBorder="1"/>
    <xf numFmtId="0" fontId="0" fillId="0" borderId="7" xfId="0" applyBorder="1" applyAlignment="1">
      <alignment horizontal="right" wrapText="1"/>
    </xf>
    <xf numFmtId="0" fontId="11" fillId="0" borderId="7" xfId="0" applyFont="1" applyBorder="1" applyAlignment="1">
      <alignment wrapText="1"/>
    </xf>
    <xf numFmtId="10" fontId="0" fillId="0" borderId="9" xfId="0" applyNumberFormat="1" applyBorder="1" applyAlignment="1">
      <alignment wrapText="1"/>
    </xf>
    <xf numFmtId="0" fontId="9" fillId="0" borderId="5" xfId="0" applyFont="1" applyBorder="1" applyAlignment="1">
      <alignment horizontal="right" wrapText="1"/>
    </xf>
    <xf numFmtId="0" fontId="8" fillId="0" borderId="5" xfId="0" applyFont="1" applyBorder="1" applyAlignment="1">
      <alignment horizontal="right" wrapText="1"/>
    </xf>
    <xf numFmtId="164" fontId="0" fillId="0" borderId="9" xfId="0" applyNumberFormat="1" applyBorder="1" applyAlignment="1">
      <alignment wrapText="1"/>
    </xf>
    <xf numFmtId="164" fontId="0" fillId="0" borderId="8" xfId="0" applyNumberFormat="1" applyBorder="1"/>
    <xf numFmtId="164" fontId="0" fillId="0" borderId="9" xfId="0" applyNumberFormat="1" applyBorder="1" applyAlignment="1">
      <alignment horizontal="center" wrapText="1"/>
    </xf>
    <xf numFmtId="8" fontId="0" fillId="0" borderId="9" xfId="0" applyNumberFormat="1" applyBorder="1" applyAlignment="1">
      <alignment wrapText="1"/>
    </xf>
    <xf numFmtId="49" fontId="0" fillId="0" borderId="9" xfId="0" applyNumberFormat="1" applyBorder="1" applyAlignment="1">
      <alignment horizontal="center" wrapText="1"/>
    </xf>
    <xf numFmtId="49" fontId="0" fillId="0" borderId="9" xfId="0" applyNumberFormat="1" applyBorder="1" applyAlignment="1">
      <alignment horizontal="center"/>
    </xf>
    <xf numFmtId="0" fontId="4" fillId="1" borderId="4" xfId="0" applyFont="1" applyFill="1" applyBorder="1" applyAlignment="1">
      <alignment horizontal="center" wrapText="1"/>
    </xf>
    <xf numFmtId="0" fontId="8" fillId="0" borderId="7" xfId="0" applyFont="1" applyBorder="1" applyAlignment="1">
      <alignment horizontal="center" wrapText="1"/>
    </xf>
    <xf numFmtId="6" fontId="9" fillId="0" borderId="9" xfId="0" applyNumberFormat="1" applyFont="1" applyBorder="1" applyAlignment="1">
      <alignment wrapText="1"/>
    </xf>
    <xf numFmtId="0" fontId="12" fillId="0" borderId="7" xfId="0" applyFont="1" applyBorder="1" applyAlignment="1">
      <alignment horizontal="center" wrapText="1"/>
    </xf>
    <xf numFmtId="0" fontId="12" fillId="0" borderId="7" xfId="0" applyFont="1" applyBorder="1" applyAlignment="1">
      <alignment horizontal="right" wrapText="1"/>
    </xf>
    <xf numFmtId="164" fontId="12" fillId="0" borderId="9" xfId="0" applyNumberFormat="1" applyFont="1" applyBorder="1" applyAlignment="1">
      <alignment wrapText="1"/>
    </xf>
    <xf numFmtId="0" fontId="12" fillId="0" borderId="0" xfId="0" applyFont="1" applyBorder="1"/>
    <xf numFmtId="165" fontId="13" fillId="0" borderId="0" xfId="0" applyNumberFormat="1" applyFont="1" applyBorder="1"/>
    <xf numFmtId="164" fontId="13" fillId="0" borderId="0" xfId="0" applyNumberFormat="1" applyFont="1" applyBorder="1" applyAlignment="1">
      <alignment wrapText="1"/>
    </xf>
    <xf numFmtId="164" fontId="9" fillId="0" borderId="0" xfId="0" applyNumberFormat="1" applyFont="1" applyBorder="1"/>
    <xf numFmtId="164" fontId="14" fillId="1" borderId="0" xfId="0" applyNumberFormat="1" applyFont="1" applyFill="1" applyBorder="1"/>
    <xf numFmtId="164" fontId="14" fillId="0" borderId="0" xfId="0" applyNumberFormat="1" applyFont="1" applyBorder="1" applyAlignment="1">
      <alignment wrapText="1"/>
    </xf>
    <xf numFmtId="0" fontId="0" fillId="0" borderId="8" xfId="0" applyBorder="1" applyAlignment="1">
      <alignment horizontal="center"/>
    </xf>
    <xf numFmtId="10" fontId="0" fillId="0" borderId="8" xfId="0" applyNumberFormat="1"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9" xfId="0" applyBorder="1" applyAlignment="1">
      <alignment horizontal="center" wrapText="1"/>
    </xf>
    <xf numFmtId="0" fontId="11" fillId="0" borderId="0" xfId="0" applyFont="1" applyAlignment="1">
      <alignment horizontal="center"/>
    </xf>
    <xf numFmtId="17" fontId="0" fillId="0" borderId="0" xfId="0" applyNumberFormat="1" applyAlignment="1">
      <alignment horizontal="center"/>
    </xf>
    <xf numFmtId="165" fontId="13" fillId="0" borderId="13" xfId="0" applyNumberFormat="1" applyFont="1" applyBorder="1"/>
    <xf numFmtId="165" fontId="13" fillId="0" borderId="6" xfId="0" applyNumberFormat="1" applyFont="1" applyBorder="1"/>
    <xf numFmtId="164" fontId="8" fillId="0" borderId="15" xfId="0" applyNumberFormat="1" applyFont="1" applyBorder="1" applyAlignment="1">
      <alignment wrapText="1"/>
    </xf>
    <xf numFmtId="164" fontId="4" fillId="0" borderId="15" xfId="0" applyNumberFormat="1" applyFont="1" applyBorder="1" applyAlignment="1">
      <alignment wrapText="1"/>
    </xf>
    <xf numFmtId="0" fontId="8" fillId="0" borderId="0" xfId="0" applyFont="1" applyBorder="1" applyAlignment="1">
      <alignment wrapText="1"/>
    </xf>
    <xf numFmtId="0" fontId="2" fillId="0" borderId="0" xfId="0" applyFont="1" applyBorder="1" applyAlignment="1">
      <alignment horizontal="right" wrapText="1"/>
    </xf>
    <xf numFmtId="0" fontId="4" fillId="0" borderId="15" xfId="0" applyFont="1" applyBorder="1" applyAlignment="1">
      <alignment wrapText="1"/>
    </xf>
    <xf numFmtId="0" fontId="9" fillId="0" borderId="0" xfId="0" applyFont="1" applyBorder="1" applyAlignment="1">
      <alignment horizontal="right" wrapText="1"/>
    </xf>
    <xf numFmtId="0" fontId="8" fillId="0" borderId="0" xfId="0" applyFont="1" applyBorder="1" applyAlignment="1">
      <alignment horizontal="right" wrapText="1"/>
    </xf>
    <xf numFmtId="0" fontId="11" fillId="0" borderId="9" xfId="0" applyFont="1" applyBorder="1" applyAlignment="1">
      <alignment wrapText="1"/>
    </xf>
    <xf numFmtId="0" fontId="0" fillId="0" borderId="9" xfId="0" applyBorder="1" applyAlignment="1">
      <alignment horizontal="right" wrapText="1"/>
    </xf>
    <xf numFmtId="0" fontId="8" fillId="0" borderId="9" xfId="0" applyFont="1" applyBorder="1" applyAlignment="1">
      <alignment horizontal="center" wrapText="1"/>
    </xf>
    <xf numFmtId="0" fontId="12" fillId="0" borderId="9" xfId="0" applyFont="1" applyBorder="1" applyAlignment="1">
      <alignment horizontal="center" wrapText="1"/>
    </xf>
    <xf numFmtId="0" fontId="12" fillId="0" borderId="9" xfId="0" applyFont="1" applyBorder="1" applyAlignment="1">
      <alignment horizontal="right" wrapText="1"/>
    </xf>
    <xf numFmtId="0" fontId="10" fillId="0" borderId="2" xfId="0" applyFont="1" applyBorder="1" applyAlignment="1">
      <alignment wrapText="1"/>
    </xf>
    <xf numFmtId="9" fontId="2" fillId="0" borderId="0" xfId="1" applyFont="1" applyBorder="1" applyAlignment="1">
      <alignment wrapText="1"/>
    </xf>
    <xf numFmtId="0" fontId="10" fillId="0" borderId="0" xfId="0" applyFont="1" applyAlignment="1">
      <alignment wrapText="1"/>
    </xf>
    <xf numFmtId="0" fontId="10" fillId="0" borderId="0" xfId="0" applyFont="1" applyBorder="1" applyAlignment="1">
      <alignment wrapText="1"/>
    </xf>
    <xf numFmtId="0" fontId="10" fillId="0" borderId="14" xfId="0" applyFont="1" applyBorder="1" applyAlignment="1">
      <alignment wrapText="1"/>
    </xf>
    <xf numFmtId="0" fontId="19" fillId="0" borderId="0" xfId="0" applyFont="1" applyBorder="1" applyAlignment="1">
      <alignment wrapText="1"/>
    </xf>
    <xf numFmtId="0" fontId="10" fillId="0" borderId="0" xfId="0" applyFont="1" applyBorder="1" applyAlignment="1">
      <alignment horizontal="right" wrapText="1"/>
    </xf>
    <xf numFmtId="0" fontId="10" fillId="0" borderId="0" xfId="0" applyNumberFormat="1" applyFont="1" applyBorder="1" applyAlignment="1">
      <alignment horizontal="right" wrapText="1"/>
    </xf>
    <xf numFmtId="164" fontId="10" fillId="0" borderId="0" xfId="0" applyNumberFormat="1" applyFont="1" applyBorder="1" applyAlignment="1">
      <alignment horizontal="right" wrapText="1"/>
    </xf>
    <xf numFmtId="0" fontId="19" fillId="0" borderId="14" xfId="0" applyFont="1" applyBorder="1" applyAlignment="1">
      <alignment wrapText="1"/>
    </xf>
    <xf numFmtId="164" fontId="20" fillId="2" borderId="0" xfId="0" applyNumberFormat="1" applyFont="1" applyFill="1" applyBorder="1" applyAlignment="1">
      <alignment horizontal="center"/>
    </xf>
    <xf numFmtId="0" fontId="4" fillId="3" borderId="4" xfId="0" applyFont="1" applyFill="1" applyBorder="1" applyAlignment="1">
      <alignment horizontal="center" wrapText="1"/>
    </xf>
    <xf numFmtId="0" fontId="4" fillId="3" borderId="0" xfId="0" applyFont="1" applyFill="1" applyBorder="1" applyAlignment="1">
      <alignment horizontal="center" wrapText="1"/>
    </xf>
    <xf numFmtId="164" fontId="3" fillId="3" borderId="0" xfId="0" applyNumberFormat="1" applyFont="1" applyFill="1" applyBorder="1"/>
    <xf numFmtId="164" fontId="8" fillId="3" borderId="0" xfId="0" applyNumberFormat="1" applyFont="1" applyFill="1" applyBorder="1"/>
    <xf numFmtId="0" fontId="19" fillId="0" borderId="2" xfId="0" applyFont="1" applyBorder="1" applyAlignment="1">
      <alignment horizontal="center" wrapText="1"/>
    </xf>
    <xf numFmtId="0" fontId="8" fillId="3" borderId="4" xfId="0" applyFont="1" applyFill="1" applyBorder="1" applyAlignment="1">
      <alignment wrapText="1"/>
    </xf>
    <xf numFmtId="0" fontId="4" fillId="3" borderId="4" xfId="0" applyFont="1" applyFill="1" applyBorder="1" applyAlignment="1">
      <alignment wrapText="1"/>
    </xf>
    <xf numFmtId="0" fontId="8" fillId="3" borderId="14" xfId="0" applyFont="1" applyFill="1" applyBorder="1" applyAlignment="1">
      <alignment wrapText="1"/>
    </xf>
    <xf numFmtId="0" fontId="4" fillId="3" borderId="5" xfId="0" applyFont="1" applyFill="1" applyBorder="1" applyAlignment="1">
      <alignment horizontal="left" wrapText="1"/>
    </xf>
    <xf numFmtId="164" fontId="2" fillId="3" borderId="0" xfId="0" applyNumberFormat="1" applyFont="1" applyFill="1" applyBorder="1" applyAlignment="1">
      <alignment wrapText="1"/>
    </xf>
    <xf numFmtId="0" fontId="0" fillId="3" borderId="0" xfId="0" applyFill="1"/>
    <xf numFmtId="164" fontId="20" fillId="0" borderId="0" xfId="0" applyNumberFormat="1" applyFont="1" applyFill="1" applyBorder="1" applyAlignment="1">
      <alignment horizontal="center"/>
    </xf>
    <xf numFmtId="0" fontId="0" fillId="0" borderId="0" xfId="0" applyFill="1"/>
    <xf numFmtId="164" fontId="10" fillId="0" borderId="0" xfId="0" applyNumberFormat="1" applyFont="1" applyFill="1" applyBorder="1" applyAlignment="1">
      <alignment wrapText="1"/>
    </xf>
    <xf numFmtId="164" fontId="21" fillId="2" borderId="0" xfId="0" applyNumberFormat="1" applyFont="1" applyFill="1" applyBorder="1" applyAlignment="1">
      <alignment horizontal="center"/>
    </xf>
    <xf numFmtId="0" fontId="10" fillId="0" borderId="0" xfId="0" applyFont="1"/>
    <xf numFmtId="164" fontId="19" fillId="0" borderId="6" xfId="0" applyNumberFormat="1" applyFont="1" applyBorder="1" applyAlignment="1">
      <alignment wrapText="1"/>
    </xf>
    <xf numFmtId="164" fontId="10" fillId="0" borderId="17" xfId="0" applyNumberFormat="1" applyFont="1" applyBorder="1" applyAlignment="1">
      <alignment wrapText="1"/>
    </xf>
    <xf numFmtId="164" fontId="10" fillId="0" borderId="2" xfId="0" applyNumberFormat="1" applyFont="1" applyBorder="1" applyAlignment="1">
      <alignment wrapText="1"/>
    </xf>
    <xf numFmtId="164" fontId="10" fillId="0" borderId="2" xfId="0" applyNumberFormat="1" applyFont="1" applyFill="1" applyBorder="1" applyAlignment="1">
      <alignment wrapText="1"/>
    </xf>
    <xf numFmtId="164" fontId="10" fillId="0" borderId="18" xfId="0" applyNumberFormat="1" applyFont="1" applyFill="1" applyBorder="1" applyAlignment="1">
      <alignment wrapText="1"/>
    </xf>
    <xf numFmtId="164" fontId="10" fillId="0" borderId="14" xfId="0" applyNumberFormat="1" applyFont="1" applyBorder="1" applyAlignment="1">
      <alignment wrapText="1"/>
    </xf>
    <xf numFmtId="164" fontId="10" fillId="0" borderId="19" xfId="0" applyNumberFormat="1" applyFont="1" applyFill="1" applyBorder="1" applyAlignment="1">
      <alignment wrapText="1"/>
    </xf>
    <xf numFmtId="164" fontId="21" fillId="2" borderId="14" xfId="0" applyNumberFormat="1" applyFont="1" applyFill="1" applyBorder="1" applyAlignment="1">
      <alignment horizontal="center"/>
    </xf>
    <xf numFmtId="164" fontId="21" fillId="2" borderId="19" xfId="0" applyNumberFormat="1" applyFont="1" applyFill="1" applyBorder="1" applyAlignment="1">
      <alignment horizontal="center"/>
    </xf>
    <xf numFmtId="0" fontId="10" fillId="0" borderId="0" xfId="0" applyFont="1" applyBorder="1"/>
    <xf numFmtId="0" fontId="10" fillId="0" borderId="19" xfId="0" applyFont="1" applyBorder="1"/>
    <xf numFmtId="164" fontId="10" fillId="0" borderId="20" xfId="0" applyNumberFormat="1" applyFont="1" applyBorder="1" applyAlignment="1">
      <alignment wrapText="1"/>
    </xf>
    <xf numFmtId="0" fontId="10" fillId="0" borderId="21" xfId="0" applyFont="1" applyBorder="1"/>
    <xf numFmtId="0" fontId="10" fillId="0" borderId="22" xfId="0" applyFont="1" applyBorder="1"/>
    <xf numFmtId="164" fontId="10" fillId="0" borderId="18" xfId="0" applyNumberFormat="1" applyFont="1" applyBorder="1" applyAlignment="1">
      <alignment wrapText="1"/>
    </xf>
    <xf numFmtId="164" fontId="10" fillId="0" borderId="19" xfId="0" applyNumberFormat="1" applyFont="1" applyBorder="1" applyAlignment="1">
      <alignment wrapText="1"/>
    </xf>
    <xf numFmtId="164" fontId="10" fillId="0" borderId="21" xfId="0" applyNumberFormat="1" applyFont="1" applyBorder="1" applyAlignment="1">
      <alignment wrapText="1"/>
    </xf>
    <xf numFmtId="164" fontId="10" fillId="0" borderId="21" xfId="0" applyNumberFormat="1" applyFont="1" applyFill="1" applyBorder="1" applyAlignment="1">
      <alignment wrapText="1"/>
    </xf>
    <xf numFmtId="164" fontId="10" fillId="0" borderId="22" xfId="0" applyNumberFormat="1" applyFont="1" applyBorder="1" applyAlignment="1">
      <alignment wrapText="1"/>
    </xf>
    <xf numFmtId="164" fontId="22" fillId="4" borderId="23" xfId="2" applyNumberFormat="1"/>
    <xf numFmtId="0" fontId="22" fillId="4" borderId="23" xfId="2"/>
    <xf numFmtId="164" fontId="22" fillId="4" borderId="23" xfId="2" applyNumberFormat="1" applyAlignment="1">
      <alignment horizontal="center"/>
    </xf>
    <xf numFmtId="0" fontId="19" fillId="0" borderId="0" xfId="0" applyFont="1" applyBorder="1" applyAlignment="1">
      <alignment horizontal="center" wrapText="1"/>
    </xf>
    <xf numFmtId="164" fontId="23" fillId="0" borderId="0" xfId="0" applyNumberFormat="1" applyFont="1"/>
    <xf numFmtId="0" fontId="23" fillId="0" borderId="0" xfId="0" applyFont="1"/>
    <xf numFmtId="164" fontId="25" fillId="2" borderId="0" xfId="0" applyNumberFormat="1" applyFont="1" applyFill="1" applyBorder="1" applyAlignment="1">
      <alignment horizontal="center"/>
    </xf>
    <xf numFmtId="164" fontId="26" fillId="0" borderId="16" xfId="0" applyNumberFormat="1" applyFont="1" applyBorder="1" applyAlignment="1">
      <alignment wrapText="1"/>
    </xf>
    <xf numFmtId="164" fontId="23" fillId="0" borderId="0" xfId="0" applyNumberFormat="1" applyFont="1" applyBorder="1" applyAlignment="1">
      <alignment wrapText="1"/>
    </xf>
    <xf numFmtId="164" fontId="24" fillId="0" borderId="0" xfId="0" applyNumberFormat="1" applyFont="1" applyBorder="1" applyAlignment="1">
      <alignment wrapText="1"/>
    </xf>
    <xf numFmtId="0" fontId="24" fillId="0" borderId="0" xfId="0" applyFont="1"/>
    <xf numFmtId="164" fontId="26" fillId="0" borderId="8" xfId="0" applyNumberFormat="1" applyFont="1" applyBorder="1" applyAlignment="1">
      <alignment wrapText="1"/>
    </xf>
    <xf numFmtId="10" fontId="23" fillId="0" borderId="0" xfId="0" applyNumberFormat="1" applyFont="1" applyBorder="1" applyAlignment="1">
      <alignment wrapText="1"/>
    </xf>
    <xf numFmtId="9" fontId="23" fillId="0" borderId="0" xfId="1" applyFont="1" applyBorder="1" applyAlignment="1">
      <alignment wrapText="1"/>
    </xf>
    <xf numFmtId="165" fontId="23" fillId="0" borderId="0" xfId="0" applyNumberFormat="1" applyFont="1" applyBorder="1"/>
    <xf numFmtId="0" fontId="23" fillId="0" borderId="0" xfId="0" applyFont="1" applyFill="1" applyBorder="1"/>
    <xf numFmtId="164" fontId="19" fillId="0" borderId="20" xfId="0" applyNumberFormat="1" applyFont="1" applyBorder="1" applyAlignment="1">
      <alignment wrapText="1"/>
    </xf>
    <xf numFmtId="164" fontId="19" fillId="0" borderId="21" xfId="0" applyNumberFormat="1" applyFont="1" applyBorder="1" applyAlignment="1">
      <alignment wrapText="1"/>
    </xf>
    <xf numFmtId="164" fontId="19" fillId="0" borderId="22" xfId="0" applyNumberFormat="1" applyFont="1" applyBorder="1" applyAlignment="1">
      <alignment wrapText="1"/>
    </xf>
    <xf numFmtId="6" fontId="0" fillId="0" borderId="0" xfId="0" applyNumberFormat="1"/>
    <xf numFmtId="164" fontId="25" fillId="0" borderId="0" xfId="0" applyNumberFormat="1" applyFont="1" applyFill="1" applyBorder="1" applyAlignment="1">
      <alignment horizontal="center"/>
    </xf>
    <xf numFmtId="165" fontId="23" fillId="0" borderId="6" xfId="0" applyNumberFormat="1" applyFont="1" applyBorder="1"/>
    <xf numFmtId="0" fontId="28" fillId="0" borderId="0" xfId="0" applyFont="1" applyBorder="1"/>
    <xf numFmtId="168" fontId="2" fillId="0" borderId="0" xfId="3" applyNumberFormat="1" applyFont="1" applyBorder="1" applyAlignment="1">
      <alignment wrapText="1"/>
    </xf>
    <xf numFmtId="10" fontId="2" fillId="0" borderId="0" xfId="1" applyNumberFormat="1" applyFont="1" applyBorder="1" applyAlignment="1">
      <alignment wrapText="1"/>
    </xf>
    <xf numFmtId="10" fontId="29" fillId="0" borderId="0" xfId="1" applyNumberFormat="1" applyFont="1" applyBorder="1" applyAlignment="1">
      <alignment wrapText="1"/>
    </xf>
    <xf numFmtId="164" fontId="0" fillId="5" borderId="0" xfId="0" applyNumberFormat="1" applyFill="1"/>
    <xf numFmtId="164" fontId="23" fillId="0" borderId="0" xfId="0" applyNumberFormat="1" applyFont="1" applyFill="1"/>
    <xf numFmtId="167" fontId="10" fillId="0" borderId="0" xfId="4" applyNumberFormat="1" applyFont="1" applyBorder="1" applyAlignment="1">
      <alignment wrapText="1"/>
    </xf>
    <xf numFmtId="164" fontId="31" fillId="0" borderId="0" xfId="0" applyNumberFormat="1" applyFont="1" applyBorder="1" applyAlignment="1">
      <alignment wrapText="1"/>
    </xf>
    <xf numFmtId="164" fontId="30" fillId="7" borderId="12" xfId="0" applyNumberFormat="1" applyFont="1" applyFill="1" applyBorder="1" applyAlignment="1">
      <alignment wrapText="1"/>
    </xf>
    <xf numFmtId="164" fontId="30" fillId="7" borderId="16" xfId="0" applyNumberFormat="1" applyFont="1" applyFill="1" applyBorder="1" applyAlignment="1">
      <alignment wrapText="1"/>
    </xf>
    <xf numFmtId="164" fontId="30" fillId="7" borderId="9" xfId="0" applyNumberFormat="1" applyFont="1" applyFill="1" applyBorder="1" applyAlignment="1">
      <alignment wrapText="1"/>
    </xf>
    <xf numFmtId="164" fontId="23" fillId="6" borderId="0" xfId="0" applyNumberFormat="1" applyFont="1" applyFill="1"/>
    <xf numFmtId="0" fontId="2" fillId="0" borderId="4" xfId="0" applyFont="1" applyBorder="1" applyAlignment="1">
      <alignment horizontal="right"/>
    </xf>
    <xf numFmtId="0" fontId="19" fillId="0" borderId="16" xfId="0" applyFont="1" applyBorder="1" applyAlignment="1">
      <alignment horizontal="center" wrapText="1"/>
    </xf>
    <xf numFmtId="167" fontId="23" fillId="0" borderId="0" xfId="4" applyNumberFormat="1" applyFont="1" applyFill="1" applyBorder="1"/>
    <xf numFmtId="164" fontId="2" fillId="5" borderId="0" xfId="0" applyNumberFormat="1" applyFont="1" applyFill="1" applyBorder="1" applyAlignment="1">
      <alignment wrapText="1"/>
    </xf>
    <xf numFmtId="8" fontId="0" fillId="0" borderId="0" xfId="0" applyNumberFormat="1"/>
    <xf numFmtId="164" fontId="33" fillId="9" borderId="0" xfId="6" applyNumberFormat="1" applyBorder="1" applyAlignment="1">
      <alignment wrapText="1"/>
    </xf>
    <xf numFmtId="10" fontId="32" fillId="8" borderId="0" xfId="5" applyNumberFormat="1" applyBorder="1" applyAlignment="1">
      <alignment wrapText="1"/>
    </xf>
    <xf numFmtId="164" fontId="26" fillId="0" borderId="9" xfId="0" applyNumberFormat="1" applyFont="1" applyBorder="1" applyAlignment="1">
      <alignment wrapText="1"/>
    </xf>
    <xf numFmtId="164" fontId="30" fillId="7" borderId="25" xfId="0" applyNumberFormat="1" applyFont="1" applyFill="1" applyBorder="1" applyAlignment="1">
      <alignment wrapText="1"/>
    </xf>
    <xf numFmtId="164" fontId="30" fillId="7" borderId="26" xfId="0" applyNumberFormat="1" applyFont="1" applyFill="1" applyBorder="1" applyAlignment="1">
      <alignment wrapText="1"/>
    </xf>
    <xf numFmtId="0" fontId="2" fillId="0" borderId="14" xfId="0" applyFont="1" applyBorder="1" applyAlignment="1">
      <alignment wrapText="1"/>
    </xf>
    <xf numFmtId="164" fontId="34" fillId="10" borderId="24" xfId="7" applyNumberFormat="1" applyFont="1"/>
    <xf numFmtId="164" fontId="19" fillId="0" borderId="0" xfId="0" applyNumberFormat="1" applyFont="1" applyBorder="1" applyAlignment="1">
      <alignment wrapText="1"/>
    </xf>
    <xf numFmtId="164" fontId="35" fillId="0" borderId="0" xfId="0" applyNumberFormat="1" applyFont="1" applyBorder="1" applyAlignment="1">
      <alignment wrapText="1"/>
    </xf>
    <xf numFmtId="0" fontId="2" fillId="0" borderId="3" xfId="0" applyFont="1" applyBorder="1" applyAlignment="1">
      <alignment horizontal="right"/>
    </xf>
    <xf numFmtId="0" fontId="10" fillId="0" borderId="0" xfId="0" applyFont="1" applyBorder="1" applyAlignment="1"/>
    <xf numFmtId="0" fontId="2" fillId="0" borderId="0" xfId="0" applyFont="1" applyBorder="1" applyAlignment="1"/>
    <xf numFmtId="10" fontId="2" fillId="0" borderId="0" xfId="0" applyNumberFormat="1" applyFont="1" applyBorder="1" applyAlignment="1"/>
    <xf numFmtId="0" fontId="0" fillId="0" borderId="0" xfId="0" applyAlignment="1"/>
    <xf numFmtId="0" fontId="10" fillId="0" borderId="0" xfId="0" applyFont="1" applyAlignment="1">
      <alignment horizontal="center" wrapText="1"/>
    </xf>
    <xf numFmtId="0" fontId="0" fillId="0" borderId="0" xfId="0" applyBorder="1" applyAlignment="1">
      <alignment horizontal="right" wrapText="1"/>
    </xf>
    <xf numFmtId="0" fontId="0" fillId="0" borderId="7" xfId="0" applyFill="1" applyBorder="1" applyAlignment="1">
      <alignment horizontal="right" wrapText="1"/>
    </xf>
    <xf numFmtId="10" fontId="32" fillId="0" borderId="0" xfId="5" applyNumberFormat="1" applyFill="1" applyBorder="1" applyAlignment="1">
      <alignment wrapText="1"/>
    </xf>
    <xf numFmtId="0" fontId="0" fillId="0" borderId="0" xfId="0" applyAlignment="1">
      <alignment horizontal="center" vertical="center"/>
    </xf>
    <xf numFmtId="16" fontId="0" fillId="0" borderId="0" xfId="0" applyNumberFormat="1"/>
    <xf numFmtId="164" fontId="22" fillId="4" borderId="27" xfId="2" applyNumberFormat="1" applyBorder="1"/>
    <xf numFmtId="0" fontId="19" fillId="0" borderId="8" xfId="0" applyFont="1" applyBorder="1" applyAlignment="1">
      <alignment horizontal="center" wrapText="1"/>
    </xf>
    <xf numFmtId="0" fontId="0" fillId="0" borderId="28" xfId="0" applyBorder="1"/>
    <xf numFmtId="0" fontId="23" fillId="0" borderId="28" xfId="0" applyFont="1" applyFill="1" applyBorder="1"/>
    <xf numFmtId="10" fontId="2" fillId="0" borderId="28" xfId="0" applyNumberFormat="1" applyFont="1" applyBorder="1" applyAlignment="1"/>
    <xf numFmtId="10" fontId="23" fillId="0" borderId="28" xfId="0" applyNumberFormat="1" applyFont="1" applyBorder="1" applyAlignment="1">
      <alignment wrapText="1"/>
    </xf>
    <xf numFmtId="10" fontId="29" fillId="0" borderId="28" xfId="1" applyNumberFormat="1" applyFont="1" applyBorder="1" applyAlignment="1">
      <alignment wrapText="1"/>
    </xf>
    <xf numFmtId="165" fontId="13" fillId="0" borderId="29" xfId="0" applyNumberFormat="1" applyFont="1" applyBorder="1"/>
    <xf numFmtId="164" fontId="20" fillId="2" borderId="28" xfId="0" applyNumberFormat="1" applyFont="1" applyFill="1" applyBorder="1" applyAlignment="1">
      <alignment horizontal="center"/>
    </xf>
    <xf numFmtId="164" fontId="30" fillId="7" borderId="30" xfId="0" applyNumberFormat="1" applyFont="1" applyFill="1" applyBorder="1" applyAlignment="1">
      <alignment wrapText="1"/>
    </xf>
    <xf numFmtId="164" fontId="30" fillId="7" borderId="8" xfId="0" applyNumberFormat="1" applyFont="1" applyFill="1" applyBorder="1" applyAlignment="1">
      <alignment wrapText="1"/>
    </xf>
    <xf numFmtId="164" fontId="23" fillId="0" borderId="28" xfId="0" applyNumberFormat="1" applyFont="1" applyBorder="1"/>
    <xf numFmtId="164" fontId="30" fillId="7" borderId="31" xfId="0" applyNumberFormat="1" applyFont="1" applyFill="1" applyBorder="1" applyAlignment="1">
      <alignment wrapText="1"/>
    </xf>
    <xf numFmtId="164" fontId="26" fillId="0" borderId="29" xfId="0" applyNumberFormat="1" applyFont="1" applyBorder="1" applyAlignment="1">
      <alignment wrapText="1"/>
    </xf>
    <xf numFmtId="0" fontId="24" fillId="0" borderId="28" xfId="0" applyFont="1" applyBorder="1"/>
    <xf numFmtId="164" fontId="25" fillId="2" borderId="28" xfId="0" applyNumberFormat="1" applyFont="1" applyFill="1" applyBorder="1" applyAlignment="1">
      <alignment horizontal="center"/>
    </xf>
    <xf numFmtId="0" fontId="23" fillId="0" borderId="28" xfId="0" applyFont="1" applyBorder="1"/>
    <xf numFmtId="0" fontId="0" fillId="3" borderId="28" xfId="0" applyFill="1" applyBorder="1"/>
    <xf numFmtId="167" fontId="23" fillId="0" borderId="28" xfId="4" applyNumberFormat="1" applyFont="1" applyFill="1" applyBorder="1"/>
    <xf numFmtId="164" fontId="2" fillId="11" borderId="32" xfId="0" applyNumberFormat="1" applyFont="1" applyFill="1" applyBorder="1" applyAlignment="1">
      <alignment wrapText="1"/>
    </xf>
    <xf numFmtId="164" fontId="2" fillId="11" borderId="33" xfId="0" applyNumberFormat="1" applyFont="1" applyFill="1" applyBorder="1" applyAlignment="1">
      <alignment wrapText="1"/>
    </xf>
    <xf numFmtId="168" fontId="2" fillId="11" borderId="33" xfId="3" applyNumberFormat="1" applyFont="1" applyFill="1" applyBorder="1" applyAlignment="1">
      <alignment wrapText="1"/>
    </xf>
    <xf numFmtId="10" fontId="2" fillId="11" borderId="33" xfId="1" applyNumberFormat="1" applyFont="1" applyFill="1" applyBorder="1" applyAlignment="1">
      <alignment wrapText="1"/>
    </xf>
    <xf numFmtId="6" fontId="0" fillId="11" borderId="33" xfId="0" applyNumberFormat="1" applyFill="1" applyBorder="1"/>
    <xf numFmtId="164" fontId="33" fillId="12" borderId="33" xfId="6" applyNumberFormat="1" applyFill="1" applyBorder="1" applyAlignment="1">
      <alignment wrapText="1"/>
    </xf>
    <xf numFmtId="164" fontId="2" fillId="11" borderId="34" xfId="0" applyNumberFormat="1" applyFont="1" applyFill="1" applyBorder="1" applyAlignment="1">
      <alignment wrapText="1"/>
    </xf>
    <xf numFmtId="164" fontId="33" fillId="9" borderId="33" xfId="6" applyNumberFormat="1" applyBorder="1" applyAlignment="1">
      <alignment wrapText="1"/>
    </xf>
    <xf numFmtId="164" fontId="2" fillId="13" borderId="33" xfId="0" applyNumberFormat="1" applyFont="1" applyFill="1" applyBorder="1" applyAlignment="1">
      <alignment wrapText="1"/>
    </xf>
    <xf numFmtId="164" fontId="2" fillId="13" borderId="34" xfId="0" applyNumberFormat="1" applyFont="1" applyFill="1" applyBorder="1" applyAlignment="1">
      <alignment wrapText="1"/>
    </xf>
    <xf numFmtId="0" fontId="0" fillId="0" borderId="0" xfId="0" applyAlignment="1">
      <alignment horizontal="center"/>
    </xf>
    <xf numFmtId="0" fontId="11" fillId="0" borderId="0" xfId="0" applyFont="1" applyAlignment="1"/>
  </cellXfs>
  <cellStyles count="8">
    <cellStyle name="Bad" xfId="6" builtinId="27"/>
    <cellStyle name="Calculation" xfId="2" builtinId="22"/>
    <cellStyle name="Comma" xfId="3" builtinId="3"/>
    <cellStyle name="Currency" xfId="4" builtinId="4"/>
    <cellStyle name="Good" xfId="5" builtinId="26"/>
    <cellStyle name="Normal" xfId="0" builtinId="0"/>
    <cellStyle name="Note" xfId="7" builtinId="10"/>
    <cellStyle name="Percent" xfId="1"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771525</xdr:colOff>
      <xdr:row>50</xdr:row>
      <xdr:rowOff>47625</xdr:rowOff>
    </xdr:from>
    <xdr:to>
      <xdr:col>8</xdr:col>
      <xdr:colOff>190500</xdr:colOff>
      <xdr:row>51</xdr:row>
      <xdr:rowOff>228600</xdr:rowOff>
    </xdr:to>
    <xdr:sp macro="" textlink="">
      <xdr:nvSpPr>
        <xdr:cNvPr id="13321" name="Line 8"/>
        <xdr:cNvSpPr>
          <a:spLocks noChangeShapeType="1"/>
        </xdr:cNvSpPr>
      </xdr:nvSpPr>
      <xdr:spPr bwMode="auto">
        <a:xfrm flipH="1" flipV="1">
          <a:off x="7534275" y="8134350"/>
          <a:ext cx="24765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indowProtection="1" workbookViewId="0">
      <selection activeCell="H24" sqref="H24"/>
    </sheetView>
  </sheetViews>
  <sheetFormatPr defaultRowHeight="12.75" x14ac:dyDescent="0.2"/>
  <cols>
    <col min="1" max="1" width="22.7109375" customWidth="1"/>
    <col min="2" max="2" width="13.7109375" customWidth="1"/>
    <col min="3" max="3" width="14.28515625" customWidth="1"/>
    <col min="4" max="8" width="13.7109375" customWidth="1"/>
    <col min="9" max="9" width="2.28515625" customWidth="1"/>
    <col min="10" max="10" width="9.140625" bestFit="1" customWidth="1"/>
    <col min="11" max="11" width="11.140625" bestFit="1" customWidth="1"/>
  </cols>
  <sheetData>
    <row r="1" spans="1:11" x14ac:dyDescent="0.2">
      <c r="A1" t="s">
        <v>52</v>
      </c>
    </row>
    <row r="2" spans="1:11" x14ac:dyDescent="0.2">
      <c r="J2" s="236" t="s">
        <v>15</v>
      </c>
      <c r="K2" s="236"/>
    </row>
    <row r="3" spans="1:11" ht="51" x14ac:dyDescent="0.2">
      <c r="A3" s="1" t="s">
        <v>0</v>
      </c>
      <c r="B3" s="1" t="s">
        <v>1</v>
      </c>
      <c r="C3" s="1" t="s">
        <v>3</v>
      </c>
      <c r="D3" s="1" t="s">
        <v>2</v>
      </c>
      <c r="E3" s="1" t="s">
        <v>4</v>
      </c>
      <c r="F3" s="1" t="s">
        <v>5</v>
      </c>
      <c r="G3" s="1" t="s">
        <v>10</v>
      </c>
      <c r="H3" s="1" t="s">
        <v>11</v>
      </c>
      <c r="I3" s="1"/>
      <c r="J3" s="1" t="s">
        <v>16</v>
      </c>
      <c r="K3" s="1" t="s">
        <v>23</v>
      </c>
    </row>
    <row r="4" spans="1:11" x14ac:dyDescent="0.2">
      <c r="A4" s="1"/>
      <c r="B4" s="1"/>
      <c r="C4" s="1"/>
      <c r="D4" s="1"/>
      <c r="E4" s="1"/>
      <c r="F4" s="1"/>
      <c r="G4" s="1"/>
      <c r="H4" s="1"/>
      <c r="I4" s="1"/>
    </row>
    <row r="5" spans="1:11" x14ac:dyDescent="0.2">
      <c r="J5" s="6">
        <v>8324.56</v>
      </c>
      <c r="K5" s="6">
        <v>473491.7</v>
      </c>
    </row>
    <row r="6" spans="1:11" x14ac:dyDescent="0.2">
      <c r="A6" t="s">
        <v>6</v>
      </c>
      <c r="B6" s="4">
        <v>32970000</v>
      </c>
      <c r="C6" s="3">
        <v>2011</v>
      </c>
      <c r="D6" s="87">
        <v>40909</v>
      </c>
      <c r="E6" s="4">
        <f>+B6*0.0035</f>
        <v>115395</v>
      </c>
      <c r="F6" s="5" t="s">
        <v>12</v>
      </c>
      <c r="G6" s="2">
        <v>5.28E-2</v>
      </c>
      <c r="H6" s="3">
        <v>25</v>
      </c>
      <c r="I6" s="3"/>
      <c r="J6" s="3" t="s">
        <v>17</v>
      </c>
      <c r="K6" s="3" t="s">
        <v>17</v>
      </c>
    </row>
    <row r="7" spans="1:11" x14ac:dyDescent="0.2">
      <c r="A7" t="s">
        <v>7</v>
      </c>
      <c r="B7" s="4">
        <v>22700000</v>
      </c>
      <c r="C7" s="3">
        <v>2011</v>
      </c>
      <c r="D7" s="87">
        <v>40909</v>
      </c>
      <c r="E7" s="4">
        <f>+B7*0.0035</f>
        <v>79450</v>
      </c>
      <c r="F7" s="5" t="s">
        <v>12</v>
      </c>
      <c r="G7" s="2">
        <v>5.28E-2</v>
      </c>
      <c r="H7" s="3">
        <v>25</v>
      </c>
      <c r="I7" s="3"/>
      <c r="J7" s="3" t="s">
        <v>18</v>
      </c>
      <c r="K7" s="3" t="s">
        <v>18</v>
      </c>
    </row>
    <row r="8" spans="1:11" x14ac:dyDescent="0.2">
      <c r="A8" t="s">
        <v>8</v>
      </c>
      <c r="B8" s="4">
        <v>18745000</v>
      </c>
      <c r="C8" s="3">
        <v>2014</v>
      </c>
      <c r="D8" s="87">
        <v>42005</v>
      </c>
      <c r="E8" s="4">
        <f>+B8*0.0035</f>
        <v>65607.5</v>
      </c>
      <c r="F8" s="5" t="s">
        <v>13</v>
      </c>
      <c r="G8" s="2">
        <v>5.28E-2</v>
      </c>
      <c r="H8" s="3">
        <v>25</v>
      </c>
      <c r="I8" s="3"/>
      <c r="J8" s="3" t="s">
        <v>19</v>
      </c>
      <c r="K8" s="3" t="s">
        <v>19</v>
      </c>
    </row>
    <row r="9" spans="1:11" x14ac:dyDescent="0.2">
      <c r="A9" t="s">
        <v>9</v>
      </c>
      <c r="B9" s="4">
        <v>4025000</v>
      </c>
      <c r="C9" s="3">
        <v>2019</v>
      </c>
      <c r="D9" s="87">
        <v>43831</v>
      </c>
      <c r="E9" s="4">
        <f>+B9*0.0035</f>
        <v>14087.5</v>
      </c>
      <c r="F9" s="5" t="s">
        <v>14</v>
      </c>
      <c r="G9" s="2">
        <v>5.28E-2</v>
      </c>
      <c r="H9" s="3">
        <v>25</v>
      </c>
      <c r="I9" s="3"/>
      <c r="J9" s="5" t="s">
        <v>20</v>
      </c>
      <c r="K9" s="5" t="s">
        <v>20</v>
      </c>
    </row>
    <row r="10" spans="1:11" x14ac:dyDescent="0.2">
      <c r="J10" s="5" t="s">
        <v>21</v>
      </c>
      <c r="K10" s="5" t="s">
        <v>21</v>
      </c>
    </row>
    <row r="11" spans="1:11" x14ac:dyDescent="0.2">
      <c r="J11" s="3" t="s">
        <v>22</v>
      </c>
      <c r="K11" s="3" t="s">
        <v>22</v>
      </c>
    </row>
    <row r="12" spans="1:11" x14ac:dyDescent="0.2">
      <c r="J12" s="3" t="s">
        <v>18</v>
      </c>
      <c r="K12" s="3" t="s">
        <v>18</v>
      </c>
    </row>
    <row r="13" spans="1:11" x14ac:dyDescent="0.2">
      <c r="J13" s="3" t="s">
        <v>19</v>
      </c>
      <c r="K13" s="3" t="s">
        <v>19</v>
      </c>
    </row>
    <row r="14" spans="1:11" x14ac:dyDescent="0.2">
      <c r="J14" s="7">
        <v>42005</v>
      </c>
      <c r="K14" s="8">
        <v>44378</v>
      </c>
    </row>
    <row r="16" spans="1:11" x14ac:dyDescent="0.2">
      <c r="A16" s="86" t="s">
        <v>101</v>
      </c>
    </row>
    <row r="17" spans="1:4" x14ac:dyDescent="0.2">
      <c r="A17" t="s">
        <v>102</v>
      </c>
    </row>
    <row r="18" spans="1:4" x14ac:dyDescent="0.2">
      <c r="A18" t="s">
        <v>103</v>
      </c>
    </row>
    <row r="19" spans="1:4" x14ac:dyDescent="0.2">
      <c r="A19" t="s">
        <v>104</v>
      </c>
    </row>
    <row r="20" spans="1:4" x14ac:dyDescent="0.2">
      <c r="A20" t="s">
        <v>105</v>
      </c>
    </row>
    <row r="21" spans="1:4" x14ac:dyDescent="0.2">
      <c r="A21" t="s">
        <v>106</v>
      </c>
    </row>
    <row r="22" spans="1:4" x14ac:dyDescent="0.2">
      <c r="A22" t="s">
        <v>107</v>
      </c>
    </row>
    <row r="23" spans="1:4" x14ac:dyDescent="0.2">
      <c r="A23" t="s">
        <v>108</v>
      </c>
    </row>
    <row r="24" spans="1:4" x14ac:dyDescent="0.2">
      <c r="A24" t="s">
        <v>109</v>
      </c>
    </row>
    <row r="25" spans="1:4" x14ac:dyDescent="0.2">
      <c r="A25" t="s">
        <v>110</v>
      </c>
    </row>
    <row r="26" spans="1:4" x14ac:dyDescent="0.2">
      <c r="A26" t="s">
        <v>111</v>
      </c>
    </row>
    <row r="30" spans="1:4" x14ac:dyDescent="0.2">
      <c r="A30" s="237" t="s">
        <v>117</v>
      </c>
      <c r="B30" s="237"/>
      <c r="C30" s="237"/>
      <c r="D30" s="237"/>
    </row>
    <row r="31" spans="1:4" x14ac:dyDescent="0.2">
      <c r="A31" t="s">
        <v>123</v>
      </c>
    </row>
    <row r="32" spans="1:4" x14ac:dyDescent="0.2">
      <c r="A32" t="s">
        <v>118</v>
      </c>
    </row>
    <row r="33" spans="1:1" x14ac:dyDescent="0.2">
      <c r="A33" t="s">
        <v>122</v>
      </c>
    </row>
    <row r="34" spans="1:1" x14ac:dyDescent="0.2">
      <c r="A34" t="s">
        <v>119</v>
      </c>
    </row>
    <row r="35" spans="1:1" x14ac:dyDescent="0.2">
      <c r="A35" t="s">
        <v>120</v>
      </c>
    </row>
    <row r="36" spans="1:1" x14ac:dyDescent="0.2">
      <c r="A36" t="s">
        <v>121</v>
      </c>
    </row>
  </sheetData>
  <mergeCells count="2">
    <mergeCell ref="J2:K2"/>
    <mergeCell ref="A30:D30"/>
  </mergeCells>
  <phoneticPr fontId="1" type="noConversion"/>
  <pageMargins left="0.75" right="0.75" top="1" bottom="1" header="0.5" footer="0.5"/>
  <pageSetup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87"/>
  <sheetViews>
    <sheetView windowProtection="1" zoomScale="85" zoomScaleNormal="85" workbookViewId="0">
      <pane ySplit="9" topLeftCell="A35" activePane="bottomLeft" state="frozen"/>
      <selection pane="bottomLeft" activeCell="G61" sqref="G61"/>
    </sheetView>
  </sheetViews>
  <sheetFormatPr defaultRowHeight="12.75" x14ac:dyDescent="0.2"/>
  <cols>
    <col min="1" max="1" width="21.85546875" customWidth="1"/>
    <col min="2" max="2" width="13.7109375" customWidth="1"/>
    <col min="3" max="3" width="14" customWidth="1"/>
    <col min="4" max="4" width="13.7109375" customWidth="1"/>
    <col min="5" max="5" width="13.140625" customWidth="1"/>
    <col min="6" max="6" width="12.85546875" customWidth="1"/>
    <col min="7" max="7" width="12.140625" customWidth="1"/>
    <col min="8" max="8" width="12.42578125" customWidth="1"/>
    <col min="9" max="9" width="12.7109375" customWidth="1"/>
    <col min="10" max="10" width="12.140625" customWidth="1"/>
    <col min="11" max="19" width="13.7109375" customWidth="1"/>
    <col min="20" max="20" width="13.5703125" customWidth="1"/>
    <col min="21" max="26" width="13.7109375" customWidth="1"/>
    <col min="27" max="27" width="14.28515625" customWidth="1"/>
    <col min="28" max="28" width="14.140625" customWidth="1"/>
    <col min="29" max="29" width="14.28515625" customWidth="1"/>
    <col min="30" max="31" width="14.5703125" customWidth="1"/>
    <col min="32" max="32" width="14.42578125" customWidth="1"/>
    <col min="33" max="33" width="14.28515625" customWidth="1"/>
    <col min="34" max="34" width="14.42578125" customWidth="1"/>
    <col min="35" max="37" width="12.7109375" customWidth="1"/>
    <col min="38" max="48" width="13.7109375" customWidth="1"/>
  </cols>
  <sheetData>
    <row r="1" spans="1:48" x14ac:dyDescent="0.2">
      <c r="A1" t="s">
        <v>52</v>
      </c>
      <c r="C1" t="s">
        <v>100</v>
      </c>
    </row>
    <row r="2" spans="1:48" ht="13.5" thickBot="1" x14ac:dyDescent="0.25"/>
    <row r="3" spans="1:48" ht="13.15" customHeight="1" x14ac:dyDescent="0.2">
      <c r="A3" s="9" t="s">
        <v>24</v>
      </c>
      <c r="B3" s="30">
        <v>2004</v>
      </c>
      <c r="C3" s="30">
        <v>2005</v>
      </c>
      <c r="D3" s="30">
        <v>2006</v>
      </c>
      <c r="E3" s="10">
        <v>2007</v>
      </c>
      <c r="F3" s="10">
        <v>2008</v>
      </c>
      <c r="G3" s="10">
        <v>2009</v>
      </c>
      <c r="H3" s="10">
        <v>2010</v>
      </c>
      <c r="I3" s="10">
        <v>2011</v>
      </c>
      <c r="J3" s="10">
        <v>2012</v>
      </c>
      <c r="K3" s="10">
        <v>2013</v>
      </c>
      <c r="L3" s="10">
        <v>2014</v>
      </c>
      <c r="M3" s="10">
        <v>2015</v>
      </c>
      <c r="N3" s="10">
        <v>2016</v>
      </c>
      <c r="O3" s="10">
        <v>2017</v>
      </c>
      <c r="P3" s="10">
        <v>2018</v>
      </c>
      <c r="Q3" s="10">
        <v>2019</v>
      </c>
      <c r="R3" s="10">
        <v>2020</v>
      </c>
      <c r="S3" s="10">
        <v>2021</v>
      </c>
      <c r="T3" s="10">
        <v>2022</v>
      </c>
      <c r="U3" s="10">
        <v>2023</v>
      </c>
      <c r="V3" s="10">
        <v>2024</v>
      </c>
      <c r="W3" s="10">
        <v>2025</v>
      </c>
      <c r="X3" s="10">
        <v>2026</v>
      </c>
      <c r="Y3" s="10">
        <v>2027</v>
      </c>
      <c r="Z3" s="10">
        <v>2028</v>
      </c>
      <c r="AA3" s="10">
        <f t="shared" ref="AA3:AV3" si="0">+Z3+1</f>
        <v>2029</v>
      </c>
      <c r="AB3" s="10">
        <f t="shared" si="0"/>
        <v>2030</v>
      </c>
      <c r="AC3" s="10">
        <f t="shared" si="0"/>
        <v>2031</v>
      </c>
      <c r="AD3" s="10">
        <f t="shared" si="0"/>
        <v>2032</v>
      </c>
      <c r="AE3" s="10">
        <f t="shared" si="0"/>
        <v>2033</v>
      </c>
      <c r="AF3" s="10">
        <f t="shared" si="0"/>
        <v>2034</v>
      </c>
      <c r="AG3" s="10">
        <f t="shared" si="0"/>
        <v>2035</v>
      </c>
      <c r="AH3" s="10">
        <f t="shared" si="0"/>
        <v>2036</v>
      </c>
      <c r="AI3" s="10">
        <f t="shared" si="0"/>
        <v>2037</v>
      </c>
      <c r="AJ3" s="10">
        <f t="shared" si="0"/>
        <v>2038</v>
      </c>
      <c r="AK3" s="10">
        <f t="shared" si="0"/>
        <v>2039</v>
      </c>
      <c r="AL3" s="10">
        <f t="shared" si="0"/>
        <v>2040</v>
      </c>
      <c r="AM3" s="10">
        <f t="shared" si="0"/>
        <v>2041</v>
      </c>
      <c r="AN3" s="10">
        <f t="shared" si="0"/>
        <v>2042</v>
      </c>
      <c r="AO3" s="10">
        <f t="shared" si="0"/>
        <v>2043</v>
      </c>
      <c r="AP3" s="10">
        <f t="shared" si="0"/>
        <v>2044</v>
      </c>
      <c r="AQ3" s="10">
        <f t="shared" si="0"/>
        <v>2045</v>
      </c>
      <c r="AR3" s="10">
        <f t="shared" si="0"/>
        <v>2046</v>
      </c>
      <c r="AS3" s="10">
        <f t="shared" si="0"/>
        <v>2047</v>
      </c>
      <c r="AT3" s="10">
        <f t="shared" si="0"/>
        <v>2048</v>
      </c>
      <c r="AU3" s="10">
        <f t="shared" si="0"/>
        <v>2049</v>
      </c>
      <c r="AV3" s="10">
        <f t="shared" si="0"/>
        <v>2050</v>
      </c>
    </row>
    <row r="4" spans="1:48" ht="8.1" customHeight="1" x14ac:dyDescent="0.2">
      <c r="A4" s="36"/>
      <c r="B4" s="37"/>
      <c r="C4" s="37"/>
      <c r="D4" s="37"/>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row>
    <row r="5" spans="1:48" ht="13.9" customHeight="1" x14ac:dyDescent="0.2">
      <c r="A5" s="36" t="s">
        <v>38</v>
      </c>
      <c r="B5" s="75">
        <v>6323</v>
      </c>
      <c r="C5" s="75">
        <v>6323</v>
      </c>
      <c r="D5" s="75">
        <v>6323</v>
      </c>
      <c r="E5" s="75">
        <v>6323</v>
      </c>
      <c r="F5" s="38">
        <v>6323</v>
      </c>
      <c r="G5" s="38">
        <v>6323</v>
      </c>
      <c r="H5" s="38">
        <v>6323</v>
      </c>
      <c r="I5" s="38">
        <v>6323</v>
      </c>
      <c r="J5" s="38">
        <v>6323</v>
      </c>
      <c r="K5" s="38">
        <v>6323</v>
      </c>
      <c r="L5" s="38">
        <v>6323</v>
      </c>
      <c r="M5" s="38">
        <v>6323</v>
      </c>
      <c r="N5" s="38">
        <v>6323</v>
      </c>
      <c r="O5" s="38">
        <v>6323</v>
      </c>
      <c r="P5" s="38">
        <v>6323</v>
      </c>
      <c r="Q5" s="38">
        <v>6323</v>
      </c>
      <c r="R5" s="38">
        <v>6323</v>
      </c>
      <c r="S5" s="38">
        <v>6323</v>
      </c>
      <c r="T5" s="38">
        <v>6323</v>
      </c>
      <c r="U5" s="38">
        <v>6323</v>
      </c>
      <c r="V5" s="38">
        <v>6323</v>
      </c>
      <c r="W5" s="38">
        <v>6323</v>
      </c>
      <c r="X5" s="38">
        <v>6323</v>
      </c>
      <c r="Y5" s="38">
        <v>6323</v>
      </c>
      <c r="Z5" s="38">
        <v>6323</v>
      </c>
      <c r="AA5" s="38">
        <v>6323</v>
      </c>
      <c r="AB5" s="38">
        <v>6323</v>
      </c>
      <c r="AC5" s="38">
        <v>6323</v>
      </c>
      <c r="AD5" s="38">
        <v>6323</v>
      </c>
      <c r="AE5" s="38">
        <v>6323</v>
      </c>
      <c r="AF5" s="38">
        <v>6323</v>
      </c>
      <c r="AG5" s="38">
        <v>6323</v>
      </c>
      <c r="AH5" s="38">
        <v>6323</v>
      </c>
      <c r="AI5" s="38">
        <v>6323</v>
      </c>
      <c r="AJ5" s="38">
        <v>6323</v>
      </c>
      <c r="AK5" s="38">
        <v>6323</v>
      </c>
      <c r="AL5" s="38">
        <v>6323</v>
      </c>
      <c r="AM5" s="38">
        <v>6323</v>
      </c>
      <c r="AN5" s="38">
        <v>6323</v>
      </c>
      <c r="AO5" s="38">
        <v>6323</v>
      </c>
      <c r="AP5" s="38">
        <v>6323</v>
      </c>
      <c r="AQ5" s="38">
        <v>6323</v>
      </c>
      <c r="AR5" s="38">
        <v>6323</v>
      </c>
      <c r="AS5" s="38">
        <v>6323</v>
      </c>
      <c r="AT5" s="38">
        <v>6323</v>
      </c>
      <c r="AU5" s="38">
        <v>6323</v>
      </c>
      <c r="AV5" s="38">
        <v>6323</v>
      </c>
    </row>
    <row r="6" spans="1:48" ht="13.9" customHeight="1" x14ac:dyDescent="0.2">
      <c r="A6" s="11" t="s">
        <v>25</v>
      </c>
      <c r="B6" s="27"/>
      <c r="C6" s="52">
        <f>(+C12/B12)-1</f>
        <v>2.3076923076922995E-2</v>
      </c>
      <c r="D6" s="52">
        <f>(+D12/C12)-1</f>
        <v>4.5997346306943854E-2</v>
      </c>
      <c r="E6" s="52">
        <f>(+E12/D12)-1</f>
        <v>0</v>
      </c>
      <c r="F6" s="52">
        <f>(+F12/E12)-1</f>
        <v>3.1712473572938604E-2</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c r="AK6" s="12">
        <v>0</v>
      </c>
      <c r="AL6" s="12">
        <v>0</v>
      </c>
      <c r="AM6" s="12">
        <v>0</v>
      </c>
      <c r="AN6" s="12">
        <v>0</v>
      </c>
      <c r="AO6" s="12">
        <v>0</v>
      </c>
      <c r="AP6" s="12">
        <v>0</v>
      </c>
      <c r="AQ6" s="12">
        <v>0</v>
      </c>
      <c r="AR6" s="12">
        <v>0</v>
      </c>
      <c r="AS6" s="12">
        <v>0</v>
      </c>
      <c r="AT6" s="12">
        <v>0</v>
      </c>
      <c r="AU6" s="12">
        <v>0</v>
      </c>
      <c r="AV6" s="12">
        <v>0</v>
      </c>
    </row>
    <row r="7" spans="1:48" ht="13.9" customHeight="1" x14ac:dyDescent="0.2">
      <c r="A7" s="11" t="s">
        <v>57</v>
      </c>
      <c r="B7" s="27"/>
      <c r="C7" s="52">
        <f>(+C46-C37-C38-C41-C42)/(+B46-B37-B38-B41-B42)-1</f>
        <v>-9.2978375184837869E-4</v>
      </c>
      <c r="D7" s="52">
        <f>(+D46-D37-D38-D41-D42)/(+C46-C37-C38-C41-C42)-1</f>
        <v>2.9627653626976613E-2</v>
      </c>
      <c r="E7" s="52">
        <f>(+E46-E37-E38-E41-E42)/(+D46-D37-D38-D41-D42)-1</f>
        <v>5.4389775031042475E-2</v>
      </c>
      <c r="F7" s="52">
        <f>(+F46-F37-F38-F41-F42)/(+E46-E37-E38-E41-E42)-1</f>
        <v>8.4451650050808791E-2</v>
      </c>
      <c r="G7" s="12">
        <v>0.05</v>
      </c>
      <c r="H7" s="12">
        <v>0.05</v>
      </c>
      <c r="I7" s="12">
        <v>0.05</v>
      </c>
      <c r="J7" s="12">
        <v>0.05</v>
      </c>
      <c r="K7" s="12">
        <v>0.05</v>
      </c>
      <c r="L7" s="12">
        <v>0.05</v>
      </c>
      <c r="M7" s="12">
        <v>0.05</v>
      </c>
      <c r="N7" s="12">
        <v>0.05</v>
      </c>
      <c r="O7" s="12">
        <v>0.05</v>
      </c>
      <c r="P7" s="12">
        <v>0.05</v>
      </c>
      <c r="Q7" s="12">
        <v>0.05</v>
      </c>
      <c r="R7" s="12">
        <v>0.05</v>
      </c>
      <c r="S7" s="12">
        <v>0.05</v>
      </c>
      <c r="T7" s="12">
        <v>0.05</v>
      </c>
      <c r="U7" s="12">
        <v>0.05</v>
      </c>
      <c r="V7" s="12">
        <v>0.05</v>
      </c>
      <c r="W7" s="12">
        <v>0.05</v>
      </c>
      <c r="X7" s="12">
        <v>0.05</v>
      </c>
      <c r="Y7" s="12">
        <v>0.05</v>
      </c>
      <c r="Z7" s="12">
        <v>0.05</v>
      </c>
      <c r="AA7" s="12">
        <v>0.05</v>
      </c>
      <c r="AB7" s="12">
        <v>0.05</v>
      </c>
      <c r="AC7" s="12">
        <v>0.05</v>
      </c>
      <c r="AD7" s="12">
        <v>0.05</v>
      </c>
      <c r="AE7" s="12">
        <v>0.05</v>
      </c>
      <c r="AF7" s="12">
        <v>0.05</v>
      </c>
      <c r="AG7" s="12">
        <v>0.05</v>
      </c>
      <c r="AH7" s="12">
        <v>0.05</v>
      </c>
      <c r="AI7" s="12">
        <v>0.05</v>
      </c>
      <c r="AJ7" s="12">
        <v>0.05</v>
      </c>
      <c r="AK7" s="12">
        <v>0.05</v>
      </c>
      <c r="AL7" s="12">
        <v>0.05</v>
      </c>
      <c r="AM7" s="12">
        <v>0.05</v>
      </c>
      <c r="AN7" s="12">
        <v>0.05</v>
      </c>
      <c r="AO7" s="12">
        <v>0.05</v>
      </c>
      <c r="AP7" s="12">
        <v>0.05</v>
      </c>
      <c r="AQ7" s="12">
        <v>0.05</v>
      </c>
      <c r="AR7" s="12">
        <v>0.05</v>
      </c>
      <c r="AS7" s="12">
        <v>0.05</v>
      </c>
      <c r="AT7" s="12">
        <v>0.05</v>
      </c>
      <c r="AU7" s="12">
        <v>0.05</v>
      </c>
      <c r="AV7" s="12">
        <v>0.05</v>
      </c>
    </row>
    <row r="8" spans="1:48" ht="13.9" customHeight="1" x14ac:dyDescent="0.2">
      <c r="A8" s="11" t="s">
        <v>97</v>
      </c>
      <c r="B8" s="27"/>
      <c r="C8" s="27"/>
      <c r="D8" s="27"/>
      <c r="E8" s="13"/>
      <c r="F8" s="14"/>
      <c r="G8" s="14">
        <v>0.25</v>
      </c>
      <c r="H8" s="14">
        <v>0</v>
      </c>
      <c r="I8" s="14">
        <v>0</v>
      </c>
      <c r="J8" s="14">
        <v>0</v>
      </c>
      <c r="K8" s="14">
        <v>0</v>
      </c>
      <c r="L8" s="14">
        <v>0</v>
      </c>
      <c r="M8" s="14">
        <v>0.1</v>
      </c>
      <c r="N8" s="14">
        <v>0</v>
      </c>
      <c r="O8" s="14">
        <v>0.1</v>
      </c>
      <c r="P8" s="14">
        <v>0.1</v>
      </c>
      <c r="Q8" s="14">
        <v>0</v>
      </c>
      <c r="R8" s="14">
        <v>0</v>
      </c>
      <c r="S8" s="14">
        <v>0</v>
      </c>
      <c r="T8" s="14">
        <v>0.1</v>
      </c>
      <c r="U8" s="14">
        <v>0</v>
      </c>
      <c r="V8" s="14">
        <v>0</v>
      </c>
      <c r="W8" s="14">
        <v>0.1</v>
      </c>
      <c r="X8" s="14">
        <v>0</v>
      </c>
      <c r="Y8" s="14">
        <v>0</v>
      </c>
      <c r="Z8" s="14">
        <v>0.1</v>
      </c>
      <c r="AA8" s="14">
        <v>0.1</v>
      </c>
      <c r="AB8" s="14">
        <v>0.1</v>
      </c>
      <c r="AC8" s="14">
        <v>0</v>
      </c>
      <c r="AD8" s="14">
        <v>0</v>
      </c>
      <c r="AE8" s="14">
        <v>0.1</v>
      </c>
      <c r="AF8" s="14">
        <v>0</v>
      </c>
      <c r="AG8" s="14">
        <v>0</v>
      </c>
      <c r="AH8" s="14">
        <v>0</v>
      </c>
      <c r="AI8" s="14">
        <v>0</v>
      </c>
      <c r="AJ8" s="14">
        <v>0</v>
      </c>
      <c r="AK8" s="14">
        <v>0</v>
      </c>
      <c r="AL8" s="14">
        <v>0</v>
      </c>
      <c r="AM8" s="14">
        <v>0</v>
      </c>
      <c r="AN8" s="14">
        <v>0</v>
      </c>
      <c r="AO8" s="14">
        <v>0</v>
      </c>
      <c r="AP8" s="14">
        <v>0</v>
      </c>
      <c r="AQ8" s="14">
        <v>0</v>
      </c>
      <c r="AR8" s="14">
        <v>0</v>
      </c>
      <c r="AS8" s="14">
        <v>0</v>
      </c>
      <c r="AT8" s="14">
        <v>0</v>
      </c>
      <c r="AU8" s="14">
        <v>0</v>
      </c>
      <c r="AV8" s="14">
        <v>0</v>
      </c>
    </row>
    <row r="9" spans="1:48" ht="13.9" customHeight="1" x14ac:dyDescent="0.2">
      <c r="A9" s="11" t="s">
        <v>63</v>
      </c>
      <c r="B9" s="76">
        <f>+B12/B5/12</f>
        <v>29.126469502873107</v>
      </c>
      <c r="C9" s="76">
        <f>+C12/C5/12</f>
        <v>29.798618799093259</v>
      </c>
      <c r="D9" s="76">
        <f>+D12/D5/12</f>
        <v>31.169276187463755</v>
      </c>
      <c r="E9" s="76">
        <f>+E12/E5/12</f>
        <v>31.169276187463755</v>
      </c>
      <c r="F9" s="26">
        <f>+F12/F5/12</f>
        <v>32.157731034846329</v>
      </c>
      <c r="G9" s="57">
        <f t="shared" ref="G9:AV9" si="1">(F9*G8)+F9</f>
        <v>40.197163793557912</v>
      </c>
      <c r="H9" s="57">
        <f t="shared" si="1"/>
        <v>40.197163793557912</v>
      </c>
      <c r="I9" s="57">
        <f t="shared" si="1"/>
        <v>40.197163793557912</v>
      </c>
      <c r="J9" s="57">
        <f t="shared" si="1"/>
        <v>40.197163793557912</v>
      </c>
      <c r="K9" s="57">
        <f t="shared" si="1"/>
        <v>40.197163793557912</v>
      </c>
      <c r="L9" s="57">
        <f t="shared" si="1"/>
        <v>40.197163793557912</v>
      </c>
      <c r="M9" s="57">
        <f t="shared" si="1"/>
        <v>44.216880172913704</v>
      </c>
      <c r="N9" s="57">
        <f t="shared" si="1"/>
        <v>44.216880172913704</v>
      </c>
      <c r="O9" s="57">
        <f t="shared" si="1"/>
        <v>48.638568190205078</v>
      </c>
      <c r="P9" s="57">
        <f t="shared" si="1"/>
        <v>53.50242500922559</v>
      </c>
      <c r="Q9" s="57">
        <f t="shared" si="1"/>
        <v>53.50242500922559</v>
      </c>
      <c r="R9" s="57">
        <f t="shared" si="1"/>
        <v>53.50242500922559</v>
      </c>
      <c r="S9" s="57">
        <f t="shared" si="1"/>
        <v>53.50242500922559</v>
      </c>
      <c r="T9" s="57">
        <f t="shared" si="1"/>
        <v>58.852667510148152</v>
      </c>
      <c r="U9" s="57">
        <f t="shared" si="1"/>
        <v>58.852667510148152</v>
      </c>
      <c r="V9" s="57">
        <f t="shared" si="1"/>
        <v>58.852667510148152</v>
      </c>
      <c r="W9" s="57">
        <f t="shared" si="1"/>
        <v>64.737934261162962</v>
      </c>
      <c r="X9" s="57">
        <f t="shared" si="1"/>
        <v>64.737934261162962</v>
      </c>
      <c r="Y9" s="57">
        <f t="shared" si="1"/>
        <v>64.737934261162962</v>
      </c>
      <c r="Z9" s="57">
        <f t="shared" si="1"/>
        <v>71.211727687279264</v>
      </c>
      <c r="AA9" s="57">
        <f t="shared" si="1"/>
        <v>78.332900456007195</v>
      </c>
      <c r="AB9" s="57">
        <f t="shared" si="1"/>
        <v>86.166190501607915</v>
      </c>
      <c r="AC9" s="57">
        <f t="shared" si="1"/>
        <v>86.166190501607915</v>
      </c>
      <c r="AD9" s="57">
        <f t="shared" si="1"/>
        <v>86.166190501607915</v>
      </c>
      <c r="AE9" s="57">
        <f t="shared" si="1"/>
        <v>94.782809551768707</v>
      </c>
      <c r="AF9" s="57">
        <f t="shared" si="1"/>
        <v>94.782809551768707</v>
      </c>
      <c r="AG9" s="57">
        <f t="shared" si="1"/>
        <v>94.782809551768707</v>
      </c>
      <c r="AH9" s="57">
        <f t="shared" si="1"/>
        <v>94.782809551768707</v>
      </c>
      <c r="AI9" s="57">
        <f t="shared" si="1"/>
        <v>94.782809551768707</v>
      </c>
      <c r="AJ9" s="57">
        <f t="shared" si="1"/>
        <v>94.782809551768707</v>
      </c>
      <c r="AK9" s="57">
        <f t="shared" si="1"/>
        <v>94.782809551768707</v>
      </c>
      <c r="AL9" s="57">
        <f t="shared" si="1"/>
        <v>94.782809551768707</v>
      </c>
      <c r="AM9" s="57">
        <f t="shared" si="1"/>
        <v>94.782809551768707</v>
      </c>
      <c r="AN9" s="57">
        <f t="shared" si="1"/>
        <v>94.782809551768707</v>
      </c>
      <c r="AO9" s="57">
        <f t="shared" si="1"/>
        <v>94.782809551768707</v>
      </c>
      <c r="AP9" s="57">
        <f t="shared" si="1"/>
        <v>94.782809551768707</v>
      </c>
      <c r="AQ9" s="57">
        <f t="shared" si="1"/>
        <v>94.782809551768707</v>
      </c>
      <c r="AR9" s="57">
        <f t="shared" si="1"/>
        <v>94.782809551768707</v>
      </c>
      <c r="AS9" s="57">
        <f t="shared" si="1"/>
        <v>94.782809551768707</v>
      </c>
      <c r="AT9" s="57">
        <f t="shared" si="1"/>
        <v>94.782809551768707</v>
      </c>
      <c r="AU9" s="57">
        <f t="shared" si="1"/>
        <v>94.782809551768707</v>
      </c>
      <c r="AV9" s="57">
        <f t="shared" si="1"/>
        <v>94.782809551768707</v>
      </c>
    </row>
    <row r="10" spans="1:48" ht="13.15" customHeight="1" x14ac:dyDescent="0.2">
      <c r="A10" s="41" t="s">
        <v>50</v>
      </c>
      <c r="B10" s="47" t="s">
        <v>112</v>
      </c>
      <c r="C10" s="47" t="s">
        <v>55</v>
      </c>
      <c r="D10" s="47" t="s">
        <v>55</v>
      </c>
      <c r="E10" s="47" t="s">
        <v>55</v>
      </c>
      <c r="F10" s="47" t="s">
        <v>55</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row r="11" spans="1:48" ht="13.15" customHeight="1" x14ac:dyDescent="0.2">
      <c r="A11" s="42" t="s">
        <v>29</v>
      </c>
      <c r="B11" s="31">
        <v>25000</v>
      </c>
      <c r="C11" s="31">
        <v>25000</v>
      </c>
      <c r="D11" s="31">
        <v>24000</v>
      </c>
      <c r="E11" s="31">
        <v>25000</v>
      </c>
      <c r="F11" s="31">
        <v>25000</v>
      </c>
      <c r="G11" s="31">
        <v>25000</v>
      </c>
      <c r="H11" s="31">
        <v>25000</v>
      </c>
      <c r="I11" s="31">
        <v>25000</v>
      </c>
      <c r="J11" s="31">
        <v>25000</v>
      </c>
      <c r="K11" s="31">
        <v>25000</v>
      </c>
      <c r="L11" s="31">
        <v>25000</v>
      </c>
      <c r="M11" s="31">
        <v>25000</v>
      </c>
      <c r="N11" s="31">
        <v>25000</v>
      </c>
      <c r="O11" s="31">
        <v>25000</v>
      </c>
      <c r="P11" s="31">
        <v>25000</v>
      </c>
      <c r="Q11" s="31">
        <v>25000</v>
      </c>
      <c r="R11" s="31">
        <v>25000</v>
      </c>
      <c r="S11" s="31">
        <v>25000</v>
      </c>
      <c r="T11" s="31">
        <v>25000</v>
      </c>
      <c r="U11" s="31">
        <v>25000</v>
      </c>
      <c r="V11" s="31">
        <v>25000</v>
      </c>
      <c r="W11" s="31">
        <v>25000</v>
      </c>
      <c r="X11" s="31">
        <v>25000</v>
      </c>
      <c r="Y11" s="31">
        <v>25000</v>
      </c>
      <c r="Z11" s="31">
        <v>25000</v>
      </c>
      <c r="AA11" s="31">
        <v>25000</v>
      </c>
      <c r="AB11" s="31">
        <v>25000</v>
      </c>
      <c r="AC11" s="31">
        <v>25000</v>
      </c>
      <c r="AD11" s="31">
        <v>25000</v>
      </c>
      <c r="AE11" s="31">
        <v>25000</v>
      </c>
      <c r="AF11" s="31">
        <v>25000</v>
      </c>
      <c r="AG11" s="31">
        <v>25000</v>
      </c>
      <c r="AH11" s="31">
        <v>25000</v>
      </c>
      <c r="AI11" s="31">
        <v>25000</v>
      </c>
      <c r="AJ11" s="31">
        <v>25000</v>
      </c>
      <c r="AK11" s="31">
        <v>25000</v>
      </c>
      <c r="AL11" s="31">
        <v>25000</v>
      </c>
      <c r="AM11" s="31">
        <v>25000</v>
      </c>
      <c r="AN11" s="31">
        <v>25000</v>
      </c>
      <c r="AO11" s="31">
        <v>25000</v>
      </c>
      <c r="AP11" s="31">
        <v>25000</v>
      </c>
      <c r="AQ11" s="31">
        <v>25000</v>
      </c>
      <c r="AR11" s="31">
        <v>25000</v>
      </c>
      <c r="AS11" s="31">
        <v>25000</v>
      </c>
      <c r="AT11" s="31">
        <v>25000</v>
      </c>
      <c r="AU11" s="31">
        <v>25000</v>
      </c>
      <c r="AV11" s="31">
        <v>25000</v>
      </c>
    </row>
    <row r="12" spans="1:48" ht="13.15" customHeight="1" x14ac:dyDescent="0.2">
      <c r="A12" s="42" t="s">
        <v>30</v>
      </c>
      <c r="B12" s="31">
        <v>2210000</v>
      </c>
      <c r="C12" s="31">
        <v>2261000</v>
      </c>
      <c r="D12" s="31">
        <v>2365000</v>
      </c>
      <c r="E12" s="15">
        <v>2365000</v>
      </c>
      <c r="F12" s="15">
        <v>2440000</v>
      </c>
      <c r="G12" s="15">
        <f t="shared" ref="G12:AV12" si="2">+F12*(1+G8)</f>
        <v>3050000</v>
      </c>
      <c r="H12" s="15">
        <f t="shared" si="2"/>
        <v>3050000</v>
      </c>
      <c r="I12" s="15">
        <f t="shared" si="2"/>
        <v>3050000</v>
      </c>
      <c r="J12" s="15">
        <f t="shared" si="2"/>
        <v>3050000</v>
      </c>
      <c r="K12" s="15">
        <f t="shared" si="2"/>
        <v>3050000</v>
      </c>
      <c r="L12" s="15">
        <f t="shared" si="2"/>
        <v>3050000</v>
      </c>
      <c r="M12" s="15">
        <f t="shared" si="2"/>
        <v>3355000.0000000005</v>
      </c>
      <c r="N12" s="15">
        <f t="shared" si="2"/>
        <v>3355000.0000000005</v>
      </c>
      <c r="O12" s="15">
        <f t="shared" si="2"/>
        <v>3690500.0000000009</v>
      </c>
      <c r="P12" s="15">
        <f t="shared" si="2"/>
        <v>4059550.0000000014</v>
      </c>
      <c r="Q12" s="15">
        <f t="shared" si="2"/>
        <v>4059550.0000000014</v>
      </c>
      <c r="R12" s="15">
        <f t="shared" si="2"/>
        <v>4059550.0000000014</v>
      </c>
      <c r="S12" s="15">
        <f t="shared" si="2"/>
        <v>4059550.0000000014</v>
      </c>
      <c r="T12" s="15">
        <f t="shared" si="2"/>
        <v>4465505.0000000019</v>
      </c>
      <c r="U12" s="15">
        <f t="shared" si="2"/>
        <v>4465505.0000000019</v>
      </c>
      <c r="V12" s="15">
        <f t="shared" si="2"/>
        <v>4465505.0000000019</v>
      </c>
      <c r="W12" s="15">
        <f t="shared" si="2"/>
        <v>4912055.5000000028</v>
      </c>
      <c r="X12" s="15">
        <f t="shared" si="2"/>
        <v>4912055.5000000028</v>
      </c>
      <c r="Y12" s="15">
        <f t="shared" si="2"/>
        <v>4912055.5000000028</v>
      </c>
      <c r="Z12" s="15">
        <f t="shared" si="2"/>
        <v>5403261.0500000035</v>
      </c>
      <c r="AA12" s="15">
        <f t="shared" si="2"/>
        <v>5943587.155000004</v>
      </c>
      <c r="AB12" s="15">
        <f t="shared" si="2"/>
        <v>6537945.8705000049</v>
      </c>
      <c r="AC12" s="15">
        <f t="shared" si="2"/>
        <v>6537945.8705000049</v>
      </c>
      <c r="AD12" s="15">
        <f t="shared" si="2"/>
        <v>6537945.8705000049</v>
      </c>
      <c r="AE12" s="15">
        <f t="shared" si="2"/>
        <v>7191740.457550006</v>
      </c>
      <c r="AF12" s="15">
        <f t="shared" si="2"/>
        <v>7191740.457550006</v>
      </c>
      <c r="AG12" s="15">
        <f t="shared" si="2"/>
        <v>7191740.457550006</v>
      </c>
      <c r="AH12" s="15">
        <f t="shared" si="2"/>
        <v>7191740.457550006</v>
      </c>
      <c r="AI12" s="15">
        <f t="shared" si="2"/>
        <v>7191740.457550006</v>
      </c>
      <c r="AJ12" s="15">
        <f t="shared" si="2"/>
        <v>7191740.457550006</v>
      </c>
      <c r="AK12" s="15">
        <f t="shared" si="2"/>
        <v>7191740.457550006</v>
      </c>
      <c r="AL12" s="15">
        <f t="shared" si="2"/>
        <v>7191740.457550006</v>
      </c>
      <c r="AM12" s="15">
        <f t="shared" si="2"/>
        <v>7191740.457550006</v>
      </c>
      <c r="AN12" s="15">
        <f t="shared" si="2"/>
        <v>7191740.457550006</v>
      </c>
      <c r="AO12" s="15">
        <f t="shared" si="2"/>
        <v>7191740.457550006</v>
      </c>
      <c r="AP12" s="15">
        <f t="shared" si="2"/>
        <v>7191740.457550006</v>
      </c>
      <c r="AQ12" s="15">
        <f t="shared" si="2"/>
        <v>7191740.457550006</v>
      </c>
      <c r="AR12" s="15">
        <f t="shared" si="2"/>
        <v>7191740.457550006</v>
      </c>
      <c r="AS12" s="15">
        <f t="shared" si="2"/>
        <v>7191740.457550006</v>
      </c>
      <c r="AT12" s="15">
        <f t="shared" si="2"/>
        <v>7191740.457550006</v>
      </c>
      <c r="AU12" s="15">
        <f t="shared" si="2"/>
        <v>7191740.457550006</v>
      </c>
      <c r="AV12" s="15">
        <f t="shared" si="2"/>
        <v>7191740.457550006</v>
      </c>
    </row>
    <row r="13" spans="1:48" ht="13.15" customHeight="1" x14ac:dyDescent="0.2">
      <c r="A13" s="42" t="s">
        <v>26</v>
      </c>
      <c r="B13" s="31">
        <v>25000</v>
      </c>
      <c r="C13" s="31">
        <v>25000</v>
      </c>
      <c r="D13" s="31">
        <v>15000</v>
      </c>
      <c r="E13" s="15">
        <v>15000</v>
      </c>
      <c r="F13" s="15">
        <v>15000</v>
      </c>
      <c r="G13" s="15">
        <v>15000</v>
      </c>
      <c r="H13" s="15">
        <v>15000</v>
      </c>
      <c r="I13" s="15">
        <v>15000</v>
      </c>
      <c r="J13" s="15">
        <v>15000</v>
      </c>
      <c r="K13" s="15">
        <v>15000</v>
      </c>
      <c r="L13" s="15">
        <v>15000</v>
      </c>
      <c r="M13" s="15">
        <v>15000</v>
      </c>
      <c r="N13" s="15">
        <v>15000</v>
      </c>
      <c r="O13" s="15">
        <v>15000</v>
      </c>
      <c r="P13" s="15">
        <v>15000</v>
      </c>
      <c r="Q13" s="15">
        <v>15000</v>
      </c>
      <c r="R13" s="15">
        <v>15000</v>
      </c>
      <c r="S13" s="15">
        <v>15000</v>
      </c>
      <c r="T13" s="15">
        <v>15000</v>
      </c>
      <c r="U13" s="15">
        <v>15000</v>
      </c>
      <c r="V13" s="15">
        <v>15000</v>
      </c>
      <c r="W13" s="15">
        <v>15000</v>
      </c>
      <c r="X13" s="15">
        <v>15000</v>
      </c>
      <c r="Y13" s="15">
        <v>15000</v>
      </c>
      <c r="Z13" s="15">
        <v>15000</v>
      </c>
      <c r="AA13" s="15">
        <v>15000</v>
      </c>
      <c r="AB13" s="15">
        <v>15000</v>
      </c>
      <c r="AC13" s="15">
        <v>15000</v>
      </c>
      <c r="AD13" s="15">
        <v>15000</v>
      </c>
      <c r="AE13" s="15">
        <v>15000</v>
      </c>
      <c r="AF13" s="15">
        <v>15000</v>
      </c>
      <c r="AG13" s="15">
        <v>15000</v>
      </c>
      <c r="AH13" s="15">
        <v>15000</v>
      </c>
      <c r="AI13" s="15">
        <v>15000</v>
      </c>
      <c r="AJ13" s="15">
        <v>15000</v>
      </c>
      <c r="AK13" s="15">
        <v>15000</v>
      </c>
      <c r="AL13" s="15">
        <v>15000</v>
      </c>
      <c r="AM13" s="15">
        <v>15000</v>
      </c>
      <c r="AN13" s="15">
        <v>15000</v>
      </c>
      <c r="AO13" s="15">
        <v>15000</v>
      </c>
      <c r="AP13" s="15">
        <v>15000</v>
      </c>
      <c r="AQ13" s="15">
        <v>15000</v>
      </c>
      <c r="AR13" s="15">
        <v>15000</v>
      </c>
      <c r="AS13" s="15">
        <v>15000</v>
      </c>
      <c r="AT13" s="15">
        <v>15000</v>
      </c>
      <c r="AU13" s="15">
        <v>15000</v>
      </c>
      <c r="AV13" s="15">
        <v>15000</v>
      </c>
    </row>
    <row r="14" spans="1:48" ht="13.15" customHeight="1" x14ac:dyDescent="0.2">
      <c r="A14" s="42" t="s">
        <v>31</v>
      </c>
      <c r="B14" s="31">
        <v>8000</v>
      </c>
      <c r="C14" s="31">
        <v>10000</v>
      </c>
      <c r="D14" s="31">
        <v>25000</v>
      </c>
      <c r="E14" s="15">
        <v>50000</v>
      </c>
      <c r="F14" s="15">
        <v>55000</v>
      </c>
      <c r="G14" s="15">
        <v>55000</v>
      </c>
      <c r="H14" s="15">
        <v>55000</v>
      </c>
      <c r="I14" s="15">
        <v>55000</v>
      </c>
      <c r="J14" s="15">
        <v>55000</v>
      </c>
      <c r="K14" s="15">
        <v>55000</v>
      </c>
      <c r="L14" s="15">
        <v>55000</v>
      </c>
      <c r="M14" s="15">
        <v>55000</v>
      </c>
      <c r="N14" s="15">
        <v>55000</v>
      </c>
      <c r="O14" s="15">
        <v>55000</v>
      </c>
      <c r="P14" s="15">
        <v>55000</v>
      </c>
      <c r="Q14" s="15">
        <v>55000</v>
      </c>
      <c r="R14" s="15">
        <v>55000</v>
      </c>
      <c r="S14" s="15">
        <v>55000</v>
      </c>
      <c r="T14" s="15">
        <v>55000</v>
      </c>
      <c r="U14" s="15">
        <v>55000</v>
      </c>
      <c r="V14" s="15">
        <v>55000</v>
      </c>
      <c r="W14" s="15">
        <v>55000</v>
      </c>
      <c r="X14" s="15">
        <v>55000</v>
      </c>
      <c r="Y14" s="15">
        <v>55000</v>
      </c>
      <c r="Z14" s="15">
        <v>55000</v>
      </c>
      <c r="AA14" s="15">
        <v>55000</v>
      </c>
      <c r="AB14" s="15">
        <v>55000</v>
      </c>
      <c r="AC14" s="15">
        <v>55000</v>
      </c>
      <c r="AD14" s="15">
        <v>55000</v>
      </c>
      <c r="AE14" s="15">
        <v>55000</v>
      </c>
      <c r="AF14" s="15">
        <v>55000</v>
      </c>
      <c r="AG14" s="15">
        <v>55000</v>
      </c>
      <c r="AH14" s="15">
        <v>55000</v>
      </c>
      <c r="AI14" s="15">
        <v>55000</v>
      </c>
      <c r="AJ14" s="15">
        <v>55000</v>
      </c>
      <c r="AK14" s="15">
        <v>55000</v>
      </c>
      <c r="AL14" s="15">
        <v>55000</v>
      </c>
      <c r="AM14" s="15">
        <v>55000</v>
      </c>
      <c r="AN14" s="15">
        <v>55000</v>
      </c>
      <c r="AO14" s="15">
        <v>55000</v>
      </c>
      <c r="AP14" s="15">
        <v>55000</v>
      </c>
      <c r="AQ14" s="15">
        <v>55000</v>
      </c>
      <c r="AR14" s="15">
        <v>55000</v>
      </c>
      <c r="AS14" s="15">
        <v>55000</v>
      </c>
      <c r="AT14" s="15">
        <v>55000</v>
      </c>
      <c r="AU14" s="15">
        <v>55000</v>
      </c>
      <c r="AV14" s="15">
        <v>55000</v>
      </c>
    </row>
    <row r="15" spans="1:48" ht="13.15" customHeight="1" x14ac:dyDescent="0.2">
      <c r="A15" s="42" t="s">
        <v>32</v>
      </c>
      <c r="B15" s="31">
        <v>250</v>
      </c>
      <c r="C15" s="31">
        <v>250</v>
      </c>
      <c r="D15" s="31">
        <v>250</v>
      </c>
      <c r="E15" s="31">
        <v>250</v>
      </c>
      <c r="F15" s="31">
        <v>250</v>
      </c>
      <c r="G15" s="31">
        <v>250</v>
      </c>
      <c r="H15" s="31">
        <v>250</v>
      </c>
      <c r="I15" s="31">
        <v>250</v>
      </c>
      <c r="J15" s="31">
        <v>250</v>
      </c>
      <c r="K15" s="31">
        <v>250</v>
      </c>
      <c r="L15" s="31">
        <v>250</v>
      </c>
      <c r="M15" s="31">
        <v>250</v>
      </c>
      <c r="N15" s="31">
        <v>250</v>
      </c>
      <c r="O15" s="31">
        <v>250</v>
      </c>
      <c r="P15" s="31">
        <v>250</v>
      </c>
      <c r="Q15" s="31">
        <v>250</v>
      </c>
      <c r="R15" s="31">
        <v>250</v>
      </c>
      <c r="S15" s="31">
        <v>250</v>
      </c>
      <c r="T15" s="31">
        <v>250</v>
      </c>
      <c r="U15" s="31">
        <v>250</v>
      </c>
      <c r="V15" s="31">
        <v>250</v>
      </c>
      <c r="W15" s="31">
        <v>250</v>
      </c>
      <c r="X15" s="31">
        <v>250</v>
      </c>
      <c r="Y15" s="31">
        <v>250</v>
      </c>
      <c r="Z15" s="31">
        <v>250</v>
      </c>
      <c r="AA15" s="31">
        <v>250</v>
      </c>
      <c r="AB15" s="31">
        <v>250</v>
      </c>
      <c r="AC15" s="31">
        <v>250</v>
      </c>
      <c r="AD15" s="31">
        <v>250</v>
      </c>
      <c r="AE15" s="31">
        <v>250</v>
      </c>
      <c r="AF15" s="31">
        <v>250</v>
      </c>
      <c r="AG15" s="31">
        <v>250</v>
      </c>
      <c r="AH15" s="31">
        <v>250</v>
      </c>
      <c r="AI15" s="31">
        <v>250</v>
      </c>
      <c r="AJ15" s="31">
        <v>250</v>
      </c>
      <c r="AK15" s="31">
        <v>250</v>
      </c>
      <c r="AL15" s="31">
        <v>250</v>
      </c>
      <c r="AM15" s="31">
        <v>250</v>
      </c>
      <c r="AN15" s="31">
        <v>250</v>
      </c>
      <c r="AO15" s="31">
        <v>250</v>
      </c>
      <c r="AP15" s="31">
        <v>250</v>
      </c>
      <c r="AQ15" s="31">
        <v>250</v>
      </c>
      <c r="AR15" s="31">
        <v>250</v>
      </c>
      <c r="AS15" s="31">
        <v>250</v>
      </c>
      <c r="AT15" s="31">
        <v>250</v>
      </c>
      <c r="AU15" s="31">
        <v>250</v>
      </c>
      <c r="AV15" s="31">
        <v>250</v>
      </c>
    </row>
    <row r="16" spans="1:48" ht="13.15" customHeight="1" x14ac:dyDescent="0.2">
      <c r="A16" s="42" t="s">
        <v>33</v>
      </c>
      <c r="B16" s="31">
        <v>140000</v>
      </c>
      <c r="C16" s="31">
        <v>180000</v>
      </c>
      <c r="D16" s="31">
        <v>235000</v>
      </c>
      <c r="E16" s="15">
        <v>175000</v>
      </c>
      <c r="F16" s="15">
        <v>150000</v>
      </c>
      <c r="G16" s="15">
        <v>150000</v>
      </c>
      <c r="H16" s="15">
        <v>150000</v>
      </c>
      <c r="I16" s="15">
        <v>150000</v>
      </c>
      <c r="J16" s="15">
        <v>150000</v>
      </c>
      <c r="K16" s="15">
        <v>150000</v>
      </c>
      <c r="L16" s="15">
        <v>150000</v>
      </c>
      <c r="M16" s="15">
        <v>150000</v>
      </c>
      <c r="N16" s="15">
        <v>150000</v>
      </c>
      <c r="O16" s="15">
        <v>150000</v>
      </c>
      <c r="P16" s="15">
        <v>150000</v>
      </c>
      <c r="Q16" s="15">
        <v>150000</v>
      </c>
      <c r="R16" s="15">
        <v>150000</v>
      </c>
      <c r="S16" s="15">
        <v>150000</v>
      </c>
      <c r="T16" s="15">
        <v>150000</v>
      </c>
      <c r="U16" s="15">
        <v>150000</v>
      </c>
      <c r="V16" s="15">
        <v>150000</v>
      </c>
      <c r="W16" s="15">
        <v>150000</v>
      </c>
      <c r="X16" s="15">
        <v>150000</v>
      </c>
      <c r="Y16" s="15">
        <v>150000</v>
      </c>
      <c r="Z16" s="15">
        <v>150000</v>
      </c>
      <c r="AA16" s="15">
        <v>150000</v>
      </c>
      <c r="AB16" s="15">
        <v>150000</v>
      </c>
      <c r="AC16" s="15">
        <v>150000</v>
      </c>
      <c r="AD16" s="15">
        <v>150000</v>
      </c>
      <c r="AE16" s="15">
        <v>150000</v>
      </c>
      <c r="AF16" s="15">
        <v>150000</v>
      </c>
      <c r="AG16" s="15">
        <v>150000</v>
      </c>
      <c r="AH16" s="15">
        <v>150000</v>
      </c>
      <c r="AI16" s="15">
        <v>150000</v>
      </c>
      <c r="AJ16" s="15">
        <v>150000</v>
      </c>
      <c r="AK16" s="15">
        <v>150000</v>
      </c>
      <c r="AL16" s="15">
        <v>150000</v>
      </c>
      <c r="AM16" s="15">
        <v>150000</v>
      </c>
      <c r="AN16" s="15">
        <v>150000</v>
      </c>
      <c r="AO16" s="15">
        <v>150000</v>
      </c>
      <c r="AP16" s="15">
        <v>150000</v>
      </c>
      <c r="AQ16" s="15">
        <v>150000</v>
      </c>
      <c r="AR16" s="15">
        <v>150000</v>
      </c>
      <c r="AS16" s="15">
        <v>150000</v>
      </c>
      <c r="AT16" s="15">
        <v>150000</v>
      </c>
      <c r="AU16" s="15">
        <v>150000</v>
      </c>
      <c r="AV16" s="15">
        <v>150000</v>
      </c>
    </row>
    <row r="17" spans="1:48" ht="13.15" customHeight="1" x14ac:dyDescent="0.2">
      <c r="A17" s="42" t="s">
        <v>34</v>
      </c>
      <c r="B17" s="31">
        <v>26000</v>
      </c>
      <c r="C17" s="31">
        <v>26000</v>
      </c>
      <c r="D17" s="31">
        <v>24000</v>
      </c>
      <c r="E17" s="15">
        <v>24000</v>
      </c>
      <c r="F17" s="15">
        <v>20000</v>
      </c>
      <c r="G17" s="15">
        <v>20000</v>
      </c>
      <c r="H17" s="15">
        <v>20000</v>
      </c>
      <c r="I17" s="15">
        <v>20000</v>
      </c>
      <c r="J17" s="15">
        <v>20000</v>
      </c>
      <c r="K17" s="15">
        <v>20000</v>
      </c>
      <c r="L17" s="15">
        <v>20000</v>
      </c>
      <c r="M17" s="15">
        <v>20000</v>
      </c>
      <c r="N17" s="15">
        <v>20000</v>
      </c>
      <c r="O17" s="15">
        <v>20000</v>
      </c>
      <c r="P17" s="15">
        <v>20000</v>
      </c>
      <c r="Q17" s="15">
        <v>20000</v>
      </c>
      <c r="R17" s="15">
        <v>20000</v>
      </c>
      <c r="S17" s="15">
        <v>20000</v>
      </c>
      <c r="T17" s="15">
        <v>20000</v>
      </c>
      <c r="U17" s="15">
        <v>20000</v>
      </c>
      <c r="V17" s="15">
        <v>20000</v>
      </c>
      <c r="W17" s="15">
        <v>20000</v>
      </c>
      <c r="X17" s="15">
        <v>20000</v>
      </c>
      <c r="Y17" s="15">
        <v>20000</v>
      </c>
      <c r="Z17" s="15">
        <v>20000</v>
      </c>
      <c r="AA17" s="15">
        <v>20000</v>
      </c>
      <c r="AB17" s="15">
        <v>20000</v>
      </c>
      <c r="AC17" s="15">
        <v>20000</v>
      </c>
      <c r="AD17" s="15">
        <v>20000</v>
      </c>
      <c r="AE17" s="15">
        <v>20000</v>
      </c>
      <c r="AF17" s="15">
        <v>20000</v>
      </c>
      <c r="AG17" s="15">
        <v>20000</v>
      </c>
      <c r="AH17" s="15">
        <v>20000</v>
      </c>
      <c r="AI17" s="15">
        <v>20000</v>
      </c>
      <c r="AJ17" s="15">
        <v>20000</v>
      </c>
      <c r="AK17" s="15">
        <v>20000</v>
      </c>
      <c r="AL17" s="15">
        <v>20000</v>
      </c>
      <c r="AM17" s="15">
        <v>20000</v>
      </c>
      <c r="AN17" s="15">
        <v>20000</v>
      </c>
      <c r="AO17" s="15">
        <v>20000</v>
      </c>
      <c r="AP17" s="15">
        <v>20000</v>
      </c>
      <c r="AQ17" s="15">
        <v>20000</v>
      </c>
      <c r="AR17" s="15">
        <v>20000</v>
      </c>
      <c r="AS17" s="15">
        <v>20000</v>
      </c>
      <c r="AT17" s="15">
        <v>20000</v>
      </c>
      <c r="AU17" s="15">
        <v>20000</v>
      </c>
      <c r="AV17" s="15">
        <v>20000</v>
      </c>
    </row>
    <row r="18" spans="1:48" ht="13.15" customHeight="1" x14ac:dyDescent="0.2">
      <c r="A18" s="42" t="s">
        <v>35</v>
      </c>
      <c r="B18" s="31">
        <v>40000</v>
      </c>
      <c r="C18" s="31">
        <v>42000</v>
      </c>
      <c r="D18" s="31">
        <v>42000</v>
      </c>
      <c r="E18" s="15">
        <v>42000</v>
      </c>
      <c r="F18" s="15">
        <v>40000</v>
      </c>
      <c r="G18" s="15">
        <v>40000</v>
      </c>
      <c r="H18" s="15">
        <v>40000</v>
      </c>
      <c r="I18" s="15">
        <v>40000</v>
      </c>
      <c r="J18" s="15">
        <v>40000</v>
      </c>
      <c r="K18" s="15">
        <v>40000</v>
      </c>
      <c r="L18" s="15">
        <v>40000</v>
      </c>
      <c r="M18" s="15">
        <v>40000</v>
      </c>
      <c r="N18" s="15">
        <v>40000</v>
      </c>
      <c r="O18" s="15">
        <v>40000</v>
      </c>
      <c r="P18" s="15">
        <v>40000</v>
      </c>
      <c r="Q18" s="15">
        <v>40000</v>
      </c>
      <c r="R18" s="15">
        <v>40000</v>
      </c>
      <c r="S18" s="15">
        <v>40000</v>
      </c>
      <c r="T18" s="15">
        <v>40000</v>
      </c>
      <c r="U18" s="15">
        <v>40000</v>
      </c>
      <c r="V18" s="15">
        <v>40000</v>
      </c>
      <c r="W18" s="15">
        <v>40000</v>
      </c>
      <c r="X18" s="15">
        <v>40000</v>
      </c>
      <c r="Y18" s="15">
        <v>40000</v>
      </c>
      <c r="Z18" s="15">
        <v>40000</v>
      </c>
      <c r="AA18" s="15">
        <v>40000</v>
      </c>
      <c r="AB18" s="15">
        <v>40000</v>
      </c>
      <c r="AC18" s="15">
        <v>40000</v>
      </c>
      <c r="AD18" s="15">
        <v>40000</v>
      </c>
      <c r="AE18" s="15">
        <v>40000</v>
      </c>
      <c r="AF18" s="15">
        <v>40000</v>
      </c>
      <c r="AG18" s="15">
        <v>40000</v>
      </c>
      <c r="AH18" s="15">
        <v>40000</v>
      </c>
      <c r="AI18" s="15">
        <v>40000</v>
      </c>
      <c r="AJ18" s="15">
        <v>40000</v>
      </c>
      <c r="AK18" s="15">
        <v>40000</v>
      </c>
      <c r="AL18" s="15">
        <v>40000</v>
      </c>
      <c r="AM18" s="15">
        <v>40000</v>
      </c>
      <c r="AN18" s="15">
        <v>40000</v>
      </c>
      <c r="AO18" s="15">
        <v>40000</v>
      </c>
      <c r="AP18" s="15">
        <v>40000</v>
      </c>
      <c r="AQ18" s="15">
        <v>40000</v>
      </c>
      <c r="AR18" s="15">
        <v>40000</v>
      </c>
      <c r="AS18" s="15">
        <v>40000</v>
      </c>
      <c r="AT18" s="15">
        <v>40000</v>
      </c>
      <c r="AU18" s="15">
        <v>40000</v>
      </c>
      <c r="AV18" s="15">
        <v>40000</v>
      </c>
    </row>
    <row r="19" spans="1:48" ht="13.15" customHeight="1" x14ac:dyDescent="0.2">
      <c r="A19" s="42" t="s">
        <v>36</v>
      </c>
      <c r="B19" s="31">
        <v>9000</v>
      </c>
      <c r="C19" s="31">
        <v>7000</v>
      </c>
      <c r="D19" s="31">
        <v>7000</v>
      </c>
      <c r="E19" s="31">
        <v>18000</v>
      </c>
      <c r="F19" s="31">
        <v>18000</v>
      </c>
      <c r="G19" s="31">
        <v>18000</v>
      </c>
      <c r="H19" s="31">
        <v>18000</v>
      </c>
      <c r="I19" s="31">
        <v>18000</v>
      </c>
      <c r="J19" s="31">
        <v>18000</v>
      </c>
      <c r="K19" s="31">
        <v>18000</v>
      </c>
      <c r="L19" s="31">
        <v>18000</v>
      </c>
      <c r="M19" s="31">
        <v>18000</v>
      </c>
      <c r="N19" s="31">
        <v>18000</v>
      </c>
      <c r="O19" s="31">
        <v>18000</v>
      </c>
      <c r="P19" s="31">
        <v>18000</v>
      </c>
      <c r="Q19" s="31">
        <v>18000</v>
      </c>
      <c r="R19" s="31">
        <v>18000</v>
      </c>
      <c r="S19" s="31">
        <v>18000</v>
      </c>
      <c r="T19" s="31">
        <v>18000</v>
      </c>
      <c r="U19" s="31">
        <v>18000</v>
      </c>
      <c r="V19" s="31">
        <v>18000</v>
      </c>
      <c r="W19" s="31">
        <v>18000</v>
      </c>
      <c r="X19" s="31">
        <v>18000</v>
      </c>
      <c r="Y19" s="31">
        <v>18000</v>
      </c>
      <c r="Z19" s="31">
        <v>18000</v>
      </c>
      <c r="AA19" s="31">
        <v>18000</v>
      </c>
      <c r="AB19" s="31">
        <v>18000</v>
      </c>
      <c r="AC19" s="31">
        <v>18000</v>
      </c>
      <c r="AD19" s="31">
        <v>18000</v>
      </c>
      <c r="AE19" s="31">
        <v>18000</v>
      </c>
      <c r="AF19" s="31">
        <v>18000</v>
      </c>
      <c r="AG19" s="31">
        <v>18000</v>
      </c>
      <c r="AH19" s="31">
        <v>18000</v>
      </c>
      <c r="AI19" s="31">
        <v>18000</v>
      </c>
      <c r="AJ19" s="31">
        <v>18000</v>
      </c>
      <c r="AK19" s="31">
        <v>18000</v>
      </c>
      <c r="AL19" s="31">
        <v>18000</v>
      </c>
      <c r="AM19" s="31">
        <v>18000</v>
      </c>
      <c r="AN19" s="31">
        <v>18000</v>
      </c>
      <c r="AO19" s="31">
        <v>18000</v>
      </c>
      <c r="AP19" s="31">
        <v>18000</v>
      </c>
      <c r="AQ19" s="31">
        <v>18000</v>
      </c>
      <c r="AR19" s="31">
        <v>18000</v>
      </c>
      <c r="AS19" s="31">
        <v>18000</v>
      </c>
      <c r="AT19" s="31">
        <v>18000</v>
      </c>
      <c r="AU19" s="31">
        <v>18000</v>
      </c>
      <c r="AV19" s="31">
        <v>18000</v>
      </c>
    </row>
    <row r="20" spans="1:48" ht="13.15" customHeight="1" x14ac:dyDescent="0.2">
      <c r="A20" s="43" t="s">
        <v>37</v>
      </c>
      <c r="B20" s="31">
        <v>0</v>
      </c>
      <c r="C20" s="31">
        <v>0</v>
      </c>
      <c r="D20" s="31">
        <v>0</v>
      </c>
      <c r="E20" s="31">
        <v>0</v>
      </c>
      <c r="F20" s="31">
        <v>0</v>
      </c>
      <c r="G20" s="31">
        <v>0</v>
      </c>
      <c r="H20" s="31">
        <v>0</v>
      </c>
      <c r="I20" s="31">
        <v>0</v>
      </c>
      <c r="J20" s="31">
        <v>0</v>
      </c>
      <c r="K20" s="31">
        <v>0</v>
      </c>
      <c r="L20" s="31">
        <v>0</v>
      </c>
      <c r="M20" s="31">
        <v>0</v>
      </c>
      <c r="N20" s="31">
        <v>0</v>
      </c>
      <c r="O20" s="31">
        <v>0</v>
      </c>
      <c r="P20" s="31">
        <v>0</v>
      </c>
      <c r="Q20" s="31">
        <v>0</v>
      </c>
      <c r="R20" s="31">
        <v>0</v>
      </c>
      <c r="S20" s="31">
        <v>0</v>
      </c>
      <c r="T20" s="31">
        <v>0</v>
      </c>
      <c r="U20" s="31">
        <v>0</v>
      </c>
      <c r="V20" s="31">
        <v>0</v>
      </c>
      <c r="W20" s="31">
        <v>0</v>
      </c>
      <c r="X20" s="31">
        <v>0</v>
      </c>
      <c r="Y20" s="31">
        <v>0</v>
      </c>
      <c r="Z20" s="31">
        <v>0</v>
      </c>
      <c r="AA20" s="31">
        <v>0</v>
      </c>
      <c r="AB20" s="31">
        <v>0</v>
      </c>
      <c r="AC20" s="31">
        <v>0</v>
      </c>
      <c r="AD20" s="31">
        <v>0</v>
      </c>
      <c r="AE20" s="31">
        <v>0</v>
      </c>
      <c r="AF20" s="31">
        <v>0</v>
      </c>
      <c r="AG20" s="31">
        <v>0</v>
      </c>
      <c r="AH20" s="31">
        <v>0</v>
      </c>
      <c r="AI20" s="31">
        <v>0</v>
      </c>
      <c r="AJ20" s="31">
        <v>0</v>
      </c>
      <c r="AK20" s="31">
        <v>0</v>
      </c>
      <c r="AL20" s="31">
        <v>0</v>
      </c>
      <c r="AM20" s="31">
        <v>0</v>
      </c>
      <c r="AN20" s="31">
        <v>0</v>
      </c>
      <c r="AO20" s="31">
        <v>0</v>
      </c>
      <c r="AP20" s="31">
        <v>0</v>
      </c>
      <c r="AQ20" s="31">
        <v>0</v>
      </c>
      <c r="AR20" s="31">
        <v>0</v>
      </c>
      <c r="AS20" s="31">
        <v>0</v>
      </c>
      <c r="AT20" s="31">
        <v>0</v>
      </c>
      <c r="AU20" s="31">
        <v>0</v>
      </c>
      <c r="AV20" s="31">
        <v>0</v>
      </c>
    </row>
    <row r="21" spans="1:48" ht="13.15" customHeight="1" x14ac:dyDescent="0.2">
      <c r="A21" s="44" t="s">
        <v>27</v>
      </c>
      <c r="B21" s="31">
        <v>55000</v>
      </c>
      <c r="C21" s="31">
        <v>45000</v>
      </c>
      <c r="D21" s="31">
        <v>45000</v>
      </c>
      <c r="E21" s="31">
        <v>45000</v>
      </c>
      <c r="F21" s="31">
        <v>45000</v>
      </c>
      <c r="G21" s="31">
        <v>45000</v>
      </c>
      <c r="H21" s="31">
        <v>45000</v>
      </c>
      <c r="I21" s="31">
        <v>45000</v>
      </c>
      <c r="J21" s="31">
        <v>45000</v>
      </c>
      <c r="K21" s="31">
        <v>45000</v>
      </c>
      <c r="L21" s="31">
        <v>45000</v>
      </c>
      <c r="M21" s="31">
        <v>45000</v>
      </c>
      <c r="N21" s="31">
        <v>45000</v>
      </c>
      <c r="O21" s="31">
        <v>45000</v>
      </c>
      <c r="P21" s="31">
        <v>45000</v>
      </c>
      <c r="Q21" s="31">
        <v>45000</v>
      </c>
      <c r="R21" s="31">
        <v>45000</v>
      </c>
      <c r="S21" s="31">
        <v>45000</v>
      </c>
      <c r="T21" s="31">
        <v>45000</v>
      </c>
      <c r="U21" s="31">
        <v>45000</v>
      </c>
      <c r="V21" s="31">
        <v>45000</v>
      </c>
      <c r="W21" s="31">
        <v>45000</v>
      </c>
      <c r="X21" s="31">
        <v>45000</v>
      </c>
      <c r="Y21" s="31">
        <v>45000</v>
      </c>
      <c r="Z21" s="31">
        <v>45000</v>
      </c>
      <c r="AA21" s="31">
        <v>45000</v>
      </c>
      <c r="AB21" s="31">
        <v>45000</v>
      </c>
      <c r="AC21" s="31">
        <v>45000</v>
      </c>
      <c r="AD21" s="31">
        <v>45000</v>
      </c>
      <c r="AE21" s="31">
        <v>45000</v>
      </c>
      <c r="AF21" s="31">
        <v>45000</v>
      </c>
      <c r="AG21" s="31">
        <v>45000</v>
      </c>
      <c r="AH21" s="31">
        <v>45000</v>
      </c>
      <c r="AI21" s="31">
        <v>45000</v>
      </c>
      <c r="AJ21" s="31">
        <v>45000</v>
      </c>
      <c r="AK21" s="31">
        <v>45000</v>
      </c>
      <c r="AL21" s="31">
        <v>45000</v>
      </c>
      <c r="AM21" s="31">
        <v>45000</v>
      </c>
      <c r="AN21" s="31">
        <v>45000</v>
      </c>
      <c r="AO21" s="31">
        <v>45000</v>
      </c>
      <c r="AP21" s="31">
        <v>45000</v>
      </c>
      <c r="AQ21" s="31">
        <v>45000</v>
      </c>
      <c r="AR21" s="31">
        <v>45000</v>
      </c>
      <c r="AS21" s="31">
        <v>45000</v>
      </c>
      <c r="AT21" s="31">
        <v>45000</v>
      </c>
      <c r="AU21" s="31">
        <v>45000</v>
      </c>
      <c r="AV21" s="31">
        <v>45000</v>
      </c>
    </row>
    <row r="22" spans="1:48" ht="13.15" customHeight="1" thickBot="1" x14ac:dyDescent="0.25">
      <c r="A22" s="44" t="s">
        <v>28</v>
      </c>
      <c r="B22" s="31">
        <v>80000</v>
      </c>
      <c r="C22" s="31">
        <v>80000</v>
      </c>
      <c r="D22" s="31">
        <v>80000</v>
      </c>
      <c r="E22" s="31">
        <v>80000</v>
      </c>
      <c r="F22" s="31">
        <v>80000</v>
      </c>
      <c r="G22" s="31">
        <v>48000</v>
      </c>
      <c r="H22" s="31">
        <v>48000</v>
      </c>
      <c r="I22" s="31">
        <v>64000</v>
      </c>
      <c r="J22" s="31">
        <v>64000</v>
      </c>
      <c r="K22" s="31">
        <v>80000</v>
      </c>
      <c r="L22" s="31">
        <v>80000</v>
      </c>
      <c r="M22" s="31">
        <v>80000</v>
      </c>
      <c r="N22" s="31">
        <v>80000</v>
      </c>
      <c r="O22" s="31">
        <v>80000</v>
      </c>
      <c r="P22" s="31">
        <v>80000</v>
      </c>
      <c r="Q22" s="31">
        <v>80000</v>
      </c>
      <c r="R22" s="31">
        <v>80000</v>
      </c>
      <c r="S22" s="31">
        <v>80000</v>
      </c>
      <c r="T22" s="31">
        <v>80000</v>
      </c>
      <c r="U22" s="31">
        <v>80000</v>
      </c>
      <c r="V22" s="31">
        <v>80000</v>
      </c>
      <c r="W22" s="31">
        <v>80000</v>
      </c>
      <c r="X22" s="31">
        <v>80000</v>
      </c>
      <c r="Y22" s="31">
        <v>80000</v>
      </c>
      <c r="Z22" s="31">
        <v>80000</v>
      </c>
      <c r="AA22" s="31">
        <v>80000</v>
      </c>
      <c r="AB22" s="31">
        <v>80000</v>
      </c>
      <c r="AC22" s="31">
        <v>80000</v>
      </c>
      <c r="AD22" s="31">
        <v>80000</v>
      </c>
      <c r="AE22" s="31">
        <v>80000</v>
      </c>
      <c r="AF22" s="31">
        <v>80000</v>
      </c>
      <c r="AG22" s="31">
        <v>80000</v>
      </c>
      <c r="AH22" s="31">
        <v>80000</v>
      </c>
      <c r="AI22" s="31">
        <v>80000</v>
      </c>
      <c r="AJ22" s="31">
        <v>80000</v>
      </c>
      <c r="AK22" s="31">
        <v>80000</v>
      </c>
      <c r="AL22" s="31">
        <v>80000</v>
      </c>
      <c r="AM22" s="31">
        <v>80000</v>
      </c>
      <c r="AN22" s="31">
        <v>80000</v>
      </c>
      <c r="AO22" s="31">
        <v>80000</v>
      </c>
      <c r="AP22" s="31">
        <v>80000</v>
      </c>
      <c r="AQ22" s="31">
        <v>80000</v>
      </c>
      <c r="AR22" s="31">
        <v>80000</v>
      </c>
      <c r="AS22" s="31">
        <v>80000</v>
      </c>
      <c r="AT22" s="31">
        <v>80000</v>
      </c>
      <c r="AU22" s="31">
        <v>80000</v>
      </c>
      <c r="AV22" s="31">
        <v>80000</v>
      </c>
    </row>
    <row r="23" spans="1:48" ht="13.15" customHeight="1" thickBot="1" x14ac:dyDescent="0.25">
      <c r="A23" s="51" t="s">
        <v>59</v>
      </c>
      <c r="B23" s="54">
        <f t="shared" ref="B23:AV23" si="3">SUM(B11:B22)</f>
        <v>2618250</v>
      </c>
      <c r="C23" s="54">
        <f t="shared" si="3"/>
        <v>2701250</v>
      </c>
      <c r="D23" s="54">
        <f t="shared" si="3"/>
        <v>2862250</v>
      </c>
      <c r="E23" s="54">
        <f t="shared" si="3"/>
        <v>2839250</v>
      </c>
      <c r="F23" s="54">
        <f t="shared" si="3"/>
        <v>2888250</v>
      </c>
      <c r="G23" s="54">
        <f t="shared" si="3"/>
        <v>3466250</v>
      </c>
      <c r="H23" s="54">
        <f t="shared" si="3"/>
        <v>3466250</v>
      </c>
      <c r="I23" s="54">
        <f t="shared" si="3"/>
        <v>3482250</v>
      </c>
      <c r="J23" s="54">
        <f t="shared" si="3"/>
        <v>3482250</v>
      </c>
      <c r="K23" s="54">
        <f t="shared" si="3"/>
        <v>3498250</v>
      </c>
      <c r="L23" s="54">
        <f t="shared" si="3"/>
        <v>3498250</v>
      </c>
      <c r="M23" s="54">
        <f t="shared" si="3"/>
        <v>3803250.0000000005</v>
      </c>
      <c r="N23" s="54">
        <f t="shared" si="3"/>
        <v>3803250.0000000005</v>
      </c>
      <c r="O23" s="54">
        <f t="shared" si="3"/>
        <v>4138750.0000000009</v>
      </c>
      <c r="P23" s="54">
        <f t="shared" si="3"/>
        <v>4507800.0000000019</v>
      </c>
      <c r="Q23" s="54">
        <f t="shared" si="3"/>
        <v>4507800.0000000019</v>
      </c>
      <c r="R23" s="54">
        <f t="shared" si="3"/>
        <v>4507800.0000000019</v>
      </c>
      <c r="S23" s="54">
        <f t="shared" si="3"/>
        <v>4507800.0000000019</v>
      </c>
      <c r="T23" s="54">
        <f t="shared" si="3"/>
        <v>4913755.0000000019</v>
      </c>
      <c r="U23" s="54">
        <f t="shared" si="3"/>
        <v>4913755.0000000019</v>
      </c>
      <c r="V23" s="54">
        <f t="shared" si="3"/>
        <v>4913755.0000000019</v>
      </c>
      <c r="W23" s="54">
        <f t="shared" si="3"/>
        <v>5360305.5000000028</v>
      </c>
      <c r="X23" s="54">
        <f t="shared" si="3"/>
        <v>5360305.5000000028</v>
      </c>
      <c r="Y23" s="54">
        <f t="shared" si="3"/>
        <v>5360305.5000000028</v>
      </c>
      <c r="Z23" s="54">
        <f t="shared" si="3"/>
        <v>5851511.0500000035</v>
      </c>
      <c r="AA23" s="54">
        <f t="shared" si="3"/>
        <v>6391837.155000004</v>
      </c>
      <c r="AB23" s="54">
        <f t="shared" si="3"/>
        <v>6986195.8705000049</v>
      </c>
      <c r="AC23" s="54">
        <f t="shared" si="3"/>
        <v>6986195.8705000049</v>
      </c>
      <c r="AD23" s="54">
        <f t="shared" si="3"/>
        <v>6986195.8705000049</v>
      </c>
      <c r="AE23" s="54">
        <f t="shared" si="3"/>
        <v>7639990.457550006</v>
      </c>
      <c r="AF23" s="54">
        <f t="shared" si="3"/>
        <v>7639990.457550006</v>
      </c>
      <c r="AG23" s="54">
        <f t="shared" si="3"/>
        <v>7639990.457550006</v>
      </c>
      <c r="AH23" s="54">
        <f t="shared" si="3"/>
        <v>7639990.457550006</v>
      </c>
      <c r="AI23" s="54">
        <f t="shared" si="3"/>
        <v>7639990.457550006</v>
      </c>
      <c r="AJ23" s="54">
        <f t="shared" si="3"/>
        <v>7639990.457550006</v>
      </c>
      <c r="AK23" s="54">
        <f t="shared" si="3"/>
        <v>7639990.457550006</v>
      </c>
      <c r="AL23" s="54">
        <f t="shared" si="3"/>
        <v>7639990.457550006</v>
      </c>
      <c r="AM23" s="54">
        <f t="shared" si="3"/>
        <v>7639990.457550006</v>
      </c>
      <c r="AN23" s="54">
        <f t="shared" si="3"/>
        <v>7639990.457550006</v>
      </c>
      <c r="AO23" s="54">
        <f t="shared" si="3"/>
        <v>7639990.457550006</v>
      </c>
      <c r="AP23" s="54">
        <f t="shared" si="3"/>
        <v>7639990.457550006</v>
      </c>
      <c r="AQ23" s="54">
        <f t="shared" si="3"/>
        <v>7639990.457550006</v>
      </c>
      <c r="AR23" s="54">
        <f t="shared" si="3"/>
        <v>7639990.457550006</v>
      </c>
      <c r="AS23" s="54">
        <f t="shared" si="3"/>
        <v>7639990.457550006</v>
      </c>
      <c r="AT23" s="54">
        <f t="shared" si="3"/>
        <v>7639990.457550006</v>
      </c>
      <c r="AU23" s="54">
        <f t="shared" si="3"/>
        <v>7639990.457550006</v>
      </c>
      <c r="AV23" s="54">
        <f t="shared" si="3"/>
        <v>7639990.457550006</v>
      </c>
    </row>
    <row r="24" spans="1:48" ht="13.15" customHeight="1" x14ac:dyDescent="0.2">
      <c r="A24" s="11"/>
      <c r="B24" s="31"/>
      <c r="C24" s="27"/>
      <c r="D24" s="27"/>
      <c r="E24" s="17"/>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row>
    <row r="25" spans="1:48" ht="13.15" customHeight="1" x14ac:dyDescent="0.2">
      <c r="A25" s="45" t="s">
        <v>51</v>
      </c>
      <c r="B25" s="47" t="s">
        <v>112</v>
      </c>
      <c r="C25" s="47" t="s">
        <v>112</v>
      </c>
      <c r="D25" s="47" t="s">
        <v>112</v>
      </c>
      <c r="E25" s="47" t="s">
        <v>55</v>
      </c>
      <c r="F25" s="47" t="s">
        <v>55</v>
      </c>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row>
    <row r="26" spans="1:48" ht="13.15" customHeight="1" x14ac:dyDescent="0.2">
      <c r="A26" s="40" t="s">
        <v>39</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row>
    <row r="27" spans="1:48" ht="13.15" customHeight="1" x14ac:dyDescent="0.2">
      <c r="A27" s="39" t="s">
        <v>113</v>
      </c>
      <c r="B27" s="31">
        <v>603048</v>
      </c>
      <c r="C27" s="31">
        <v>638476</v>
      </c>
      <c r="D27" s="31">
        <v>648903.06999999995</v>
      </c>
      <c r="E27" s="15">
        <v>653580</v>
      </c>
      <c r="F27" s="15">
        <v>720300</v>
      </c>
      <c r="G27" s="16">
        <f t="shared" ref="G27:AV27" si="4">+F27*(1+G7)</f>
        <v>756315</v>
      </c>
      <c r="H27" s="16">
        <f t="shared" si="4"/>
        <v>794130.75</v>
      </c>
      <c r="I27" s="16">
        <f t="shared" si="4"/>
        <v>833837.28750000009</v>
      </c>
      <c r="J27" s="16">
        <f t="shared" si="4"/>
        <v>875529.1518750001</v>
      </c>
      <c r="K27" s="16">
        <f t="shared" si="4"/>
        <v>919305.60946875019</v>
      </c>
      <c r="L27" s="16">
        <f t="shared" si="4"/>
        <v>965270.8899421877</v>
      </c>
      <c r="M27" s="16">
        <f t="shared" si="4"/>
        <v>1013534.4344392972</v>
      </c>
      <c r="N27" s="16">
        <f t="shared" si="4"/>
        <v>1064211.1561612622</v>
      </c>
      <c r="O27" s="16">
        <f t="shared" si="4"/>
        <v>1117421.7139693254</v>
      </c>
      <c r="P27" s="16">
        <f t="shared" si="4"/>
        <v>1173292.7996677917</v>
      </c>
      <c r="Q27" s="16">
        <f t="shared" si="4"/>
        <v>1231957.4396511812</v>
      </c>
      <c r="R27" s="16">
        <f t="shared" si="4"/>
        <v>1293555.3116337403</v>
      </c>
      <c r="S27" s="16">
        <f t="shared" si="4"/>
        <v>1358233.0772154273</v>
      </c>
      <c r="T27" s="16">
        <f t="shared" si="4"/>
        <v>1426144.7310761986</v>
      </c>
      <c r="U27" s="16">
        <f t="shared" si="4"/>
        <v>1497451.9676300087</v>
      </c>
      <c r="V27" s="16">
        <f t="shared" si="4"/>
        <v>1572324.5660115092</v>
      </c>
      <c r="W27" s="16">
        <f t="shared" si="4"/>
        <v>1650940.7943120848</v>
      </c>
      <c r="X27" s="16">
        <f t="shared" si="4"/>
        <v>1733487.8340276892</v>
      </c>
      <c r="Y27" s="16">
        <f t="shared" si="4"/>
        <v>1820162.2257290736</v>
      </c>
      <c r="Z27" s="16">
        <f t="shared" si="4"/>
        <v>1911170.3370155273</v>
      </c>
      <c r="AA27" s="16">
        <f t="shared" si="4"/>
        <v>2006728.8538663038</v>
      </c>
      <c r="AB27" s="16">
        <f t="shared" si="4"/>
        <v>2107065.2965596193</v>
      </c>
      <c r="AC27" s="16">
        <f t="shared" si="4"/>
        <v>2212418.5613876004</v>
      </c>
      <c r="AD27" s="16">
        <f t="shared" si="4"/>
        <v>2323039.4894569805</v>
      </c>
      <c r="AE27" s="16">
        <f t="shared" si="4"/>
        <v>2439191.4639298297</v>
      </c>
      <c r="AF27" s="16">
        <f t="shared" si="4"/>
        <v>2561151.0371263213</v>
      </c>
      <c r="AG27" s="16">
        <f t="shared" si="4"/>
        <v>2689208.5889826375</v>
      </c>
      <c r="AH27" s="16">
        <f t="shared" si="4"/>
        <v>2823669.0184317697</v>
      </c>
      <c r="AI27" s="16">
        <f t="shared" si="4"/>
        <v>2964852.4693533583</v>
      </c>
      <c r="AJ27" s="16">
        <f t="shared" si="4"/>
        <v>3113095.0928210262</v>
      </c>
      <c r="AK27" s="16">
        <f t="shared" si="4"/>
        <v>3268749.8474620776</v>
      </c>
      <c r="AL27" s="16">
        <f t="shared" si="4"/>
        <v>3432187.3398351818</v>
      </c>
      <c r="AM27" s="16">
        <f t="shared" si="4"/>
        <v>3603796.7068269411</v>
      </c>
      <c r="AN27" s="16">
        <f t="shared" si="4"/>
        <v>3783986.5421682885</v>
      </c>
      <c r="AO27" s="16">
        <f t="shared" si="4"/>
        <v>3973185.8692767029</v>
      </c>
      <c r="AP27" s="16">
        <f t="shared" si="4"/>
        <v>4171845.1627405384</v>
      </c>
      <c r="AQ27" s="16">
        <f t="shared" si="4"/>
        <v>4380437.4208775656</v>
      </c>
      <c r="AR27" s="16">
        <f t="shared" si="4"/>
        <v>4599459.2919214442</v>
      </c>
      <c r="AS27" s="16">
        <f t="shared" si="4"/>
        <v>4829432.2565175164</v>
      </c>
      <c r="AT27" s="16">
        <f t="shared" si="4"/>
        <v>5070903.8693433926</v>
      </c>
      <c r="AU27" s="16">
        <f t="shared" si="4"/>
        <v>5324449.0628105626</v>
      </c>
      <c r="AV27" s="16">
        <f t="shared" si="4"/>
        <v>5590671.5159510905</v>
      </c>
    </row>
    <row r="28" spans="1:48" ht="13.15" customHeight="1" x14ac:dyDescent="0.2">
      <c r="A28" s="39" t="s">
        <v>40</v>
      </c>
      <c r="B28" s="31">
        <v>628325</v>
      </c>
      <c r="C28" s="31">
        <v>538025</v>
      </c>
      <c r="D28" s="31">
        <v>591752.18999999994</v>
      </c>
      <c r="E28" s="15">
        <v>600605</v>
      </c>
      <c r="F28" s="15">
        <v>653300</v>
      </c>
      <c r="G28" s="16">
        <f t="shared" ref="G28:AV28" si="5">+F28*(1+G7)</f>
        <v>685965</v>
      </c>
      <c r="H28" s="16">
        <f t="shared" si="5"/>
        <v>720263.25</v>
      </c>
      <c r="I28" s="16">
        <f t="shared" si="5"/>
        <v>756276.41249999998</v>
      </c>
      <c r="J28" s="16">
        <f t="shared" si="5"/>
        <v>794090.23312500003</v>
      </c>
      <c r="K28" s="16">
        <f t="shared" si="5"/>
        <v>833794.74478125002</v>
      </c>
      <c r="L28" s="16">
        <f t="shared" si="5"/>
        <v>875484.48202031257</v>
      </c>
      <c r="M28" s="16">
        <f t="shared" si="5"/>
        <v>919258.70612132829</v>
      </c>
      <c r="N28" s="16">
        <f t="shared" si="5"/>
        <v>965221.6414273947</v>
      </c>
      <c r="O28" s="16">
        <f t="shared" si="5"/>
        <v>1013482.7234987644</v>
      </c>
      <c r="P28" s="16">
        <f t="shared" si="5"/>
        <v>1064156.8596737026</v>
      </c>
      <c r="Q28" s="16">
        <f t="shared" si="5"/>
        <v>1117364.7026573878</v>
      </c>
      <c r="R28" s="16">
        <f t="shared" si="5"/>
        <v>1173232.9377902572</v>
      </c>
      <c r="S28" s="16">
        <f t="shared" si="5"/>
        <v>1231894.5846797701</v>
      </c>
      <c r="T28" s="16">
        <f t="shared" si="5"/>
        <v>1293489.3139137586</v>
      </c>
      <c r="U28" s="16">
        <f t="shared" si="5"/>
        <v>1358163.7796094466</v>
      </c>
      <c r="V28" s="16">
        <f t="shared" si="5"/>
        <v>1426071.9685899192</v>
      </c>
      <c r="W28" s="16">
        <f t="shared" si="5"/>
        <v>1497375.5670194151</v>
      </c>
      <c r="X28" s="16">
        <f t="shared" si="5"/>
        <v>1572244.3453703858</v>
      </c>
      <c r="Y28" s="16">
        <f t="shared" si="5"/>
        <v>1650856.5626389051</v>
      </c>
      <c r="Z28" s="16">
        <f t="shared" si="5"/>
        <v>1733399.3907708505</v>
      </c>
      <c r="AA28" s="16">
        <f t="shared" si="5"/>
        <v>1820069.3603093931</v>
      </c>
      <c r="AB28" s="16">
        <f t="shared" si="5"/>
        <v>1911072.828324863</v>
      </c>
      <c r="AC28" s="16">
        <f t="shared" si="5"/>
        <v>2006626.4697411063</v>
      </c>
      <c r="AD28" s="16">
        <f t="shared" si="5"/>
        <v>2106957.7932281615</v>
      </c>
      <c r="AE28" s="16">
        <f t="shared" si="5"/>
        <v>2212305.6828895696</v>
      </c>
      <c r="AF28" s="16">
        <f t="shared" si="5"/>
        <v>2322920.9670340479</v>
      </c>
      <c r="AG28" s="16">
        <f t="shared" si="5"/>
        <v>2439067.0153857502</v>
      </c>
      <c r="AH28" s="16">
        <f t="shared" si="5"/>
        <v>2561020.3661550377</v>
      </c>
      <c r="AI28" s="16">
        <f t="shared" si="5"/>
        <v>2689071.3844627896</v>
      </c>
      <c r="AJ28" s="16">
        <f t="shared" si="5"/>
        <v>2823524.9536859291</v>
      </c>
      <c r="AK28" s="16">
        <f t="shared" si="5"/>
        <v>2964701.2013702258</v>
      </c>
      <c r="AL28" s="16">
        <f t="shared" si="5"/>
        <v>3112936.2614387372</v>
      </c>
      <c r="AM28" s="16">
        <f t="shared" si="5"/>
        <v>3268583.074510674</v>
      </c>
      <c r="AN28" s="16">
        <f t="shared" si="5"/>
        <v>3432012.2282362077</v>
      </c>
      <c r="AO28" s="16">
        <f t="shared" si="5"/>
        <v>3603612.8396480181</v>
      </c>
      <c r="AP28" s="16">
        <f t="shared" si="5"/>
        <v>3783793.4816304194</v>
      </c>
      <c r="AQ28" s="16">
        <f t="shared" si="5"/>
        <v>3972983.1557119405</v>
      </c>
      <c r="AR28" s="16">
        <f t="shared" si="5"/>
        <v>4171632.3134975377</v>
      </c>
      <c r="AS28" s="16">
        <f t="shared" si="5"/>
        <v>4380213.9291724144</v>
      </c>
      <c r="AT28" s="16">
        <f t="shared" si="5"/>
        <v>4599224.6256310353</v>
      </c>
      <c r="AU28" s="16">
        <f t="shared" si="5"/>
        <v>4829185.8569125868</v>
      </c>
      <c r="AV28" s="16">
        <f t="shared" si="5"/>
        <v>5070645.149758216</v>
      </c>
    </row>
    <row r="29" spans="1:48" ht="13.15" customHeight="1" x14ac:dyDescent="0.2">
      <c r="A29" s="40" t="s">
        <v>41</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row>
    <row r="30" spans="1:48" ht="13.15" customHeight="1" x14ac:dyDescent="0.2">
      <c r="A30" s="39" t="s">
        <v>113</v>
      </c>
      <c r="B30" s="31">
        <v>283135</v>
      </c>
      <c r="C30" s="31">
        <v>283488</v>
      </c>
      <c r="D30" s="31">
        <v>269741.68</v>
      </c>
      <c r="E30" s="15">
        <v>302782</v>
      </c>
      <c r="F30" s="15">
        <v>332600</v>
      </c>
      <c r="G30" s="16">
        <f t="shared" ref="G30:AV30" si="6">+F30*(1+G7)</f>
        <v>349230</v>
      </c>
      <c r="H30" s="16">
        <f t="shared" si="6"/>
        <v>366691.5</v>
      </c>
      <c r="I30" s="16">
        <f t="shared" si="6"/>
        <v>385026.07500000001</v>
      </c>
      <c r="J30" s="16">
        <f t="shared" si="6"/>
        <v>404277.37875000003</v>
      </c>
      <c r="K30" s="16">
        <f t="shared" si="6"/>
        <v>424491.24768750003</v>
      </c>
      <c r="L30" s="16">
        <f t="shared" si="6"/>
        <v>445715.81007187505</v>
      </c>
      <c r="M30" s="16">
        <f t="shared" si="6"/>
        <v>468001.60057546879</v>
      </c>
      <c r="N30" s="16">
        <f t="shared" si="6"/>
        <v>491401.68060424225</v>
      </c>
      <c r="O30" s="16">
        <f t="shared" si="6"/>
        <v>515971.76463445439</v>
      </c>
      <c r="P30" s="16">
        <f t="shared" si="6"/>
        <v>541770.3528661771</v>
      </c>
      <c r="Q30" s="16">
        <f t="shared" si="6"/>
        <v>568858.87050948595</v>
      </c>
      <c r="R30" s="16">
        <f t="shared" si="6"/>
        <v>597301.81403496023</v>
      </c>
      <c r="S30" s="16">
        <f t="shared" si="6"/>
        <v>627166.90473670827</v>
      </c>
      <c r="T30" s="16">
        <f t="shared" si="6"/>
        <v>658525.24997354369</v>
      </c>
      <c r="U30" s="16">
        <f t="shared" si="6"/>
        <v>691451.51247222093</v>
      </c>
      <c r="V30" s="16">
        <f t="shared" si="6"/>
        <v>726024.08809583203</v>
      </c>
      <c r="W30" s="16">
        <f t="shared" si="6"/>
        <v>762325.29250062362</v>
      </c>
      <c r="X30" s="16">
        <f t="shared" si="6"/>
        <v>800441.55712565489</v>
      </c>
      <c r="Y30" s="16">
        <f t="shared" si="6"/>
        <v>840463.63498193771</v>
      </c>
      <c r="Z30" s="16">
        <f t="shared" si="6"/>
        <v>882486.81673103466</v>
      </c>
      <c r="AA30" s="16">
        <f t="shared" si="6"/>
        <v>926611.1575675864</v>
      </c>
      <c r="AB30" s="16">
        <f t="shared" si="6"/>
        <v>972941.71544596576</v>
      </c>
      <c r="AC30" s="16">
        <f t="shared" si="6"/>
        <v>1021588.801218264</v>
      </c>
      <c r="AD30" s="16">
        <f t="shared" si="6"/>
        <v>1072668.2412791774</v>
      </c>
      <c r="AE30" s="16">
        <f t="shared" si="6"/>
        <v>1126301.6533431362</v>
      </c>
      <c r="AF30" s="16">
        <f t="shared" si="6"/>
        <v>1182616.736010293</v>
      </c>
      <c r="AG30" s="16">
        <f t="shared" si="6"/>
        <v>1241747.5728108077</v>
      </c>
      <c r="AH30" s="16">
        <f t="shared" si="6"/>
        <v>1303834.9514513481</v>
      </c>
      <c r="AI30" s="16">
        <f t="shared" si="6"/>
        <v>1369026.6990239157</v>
      </c>
      <c r="AJ30" s="16">
        <f t="shared" si="6"/>
        <v>1437478.0339751116</v>
      </c>
      <c r="AK30" s="16">
        <f t="shared" si="6"/>
        <v>1509351.9356738671</v>
      </c>
      <c r="AL30" s="16">
        <f t="shared" si="6"/>
        <v>1584819.5324575605</v>
      </c>
      <c r="AM30" s="16">
        <f t="shared" si="6"/>
        <v>1664060.5090804386</v>
      </c>
      <c r="AN30" s="16">
        <f t="shared" si="6"/>
        <v>1747263.5345344606</v>
      </c>
      <c r="AO30" s="16">
        <f t="shared" si="6"/>
        <v>1834626.7112611837</v>
      </c>
      <c r="AP30" s="16">
        <f t="shared" si="6"/>
        <v>1926358.0468242429</v>
      </c>
      <c r="AQ30" s="16">
        <f t="shared" si="6"/>
        <v>2022675.9491654551</v>
      </c>
      <c r="AR30" s="16">
        <f t="shared" si="6"/>
        <v>2123809.746623728</v>
      </c>
      <c r="AS30" s="16">
        <f t="shared" si="6"/>
        <v>2230000.2339549144</v>
      </c>
      <c r="AT30" s="16">
        <f t="shared" si="6"/>
        <v>2341500.2456526603</v>
      </c>
      <c r="AU30" s="16">
        <f t="shared" si="6"/>
        <v>2458575.2579352935</v>
      </c>
      <c r="AV30" s="16">
        <f t="shared" si="6"/>
        <v>2581504.020832058</v>
      </c>
    </row>
    <row r="31" spans="1:48" ht="13.15" customHeight="1" x14ac:dyDescent="0.2">
      <c r="A31" s="39" t="s">
        <v>40</v>
      </c>
      <c r="B31" s="31">
        <v>166000</v>
      </c>
      <c r="C31" s="31">
        <v>183170</v>
      </c>
      <c r="D31" s="31">
        <v>162129.69</v>
      </c>
      <c r="E31" s="15">
        <v>232750</v>
      </c>
      <c r="F31" s="15">
        <v>214400</v>
      </c>
      <c r="G31" s="16">
        <f t="shared" ref="G31:AV31" si="7">+F31*(1+G7)</f>
        <v>225120</v>
      </c>
      <c r="H31" s="16">
        <f t="shared" si="7"/>
        <v>236376</v>
      </c>
      <c r="I31" s="16">
        <f t="shared" si="7"/>
        <v>248194.80000000002</v>
      </c>
      <c r="J31" s="16">
        <f t="shared" si="7"/>
        <v>260604.54000000004</v>
      </c>
      <c r="K31" s="16">
        <f t="shared" si="7"/>
        <v>273634.76700000005</v>
      </c>
      <c r="L31" s="16">
        <f t="shared" si="7"/>
        <v>287316.50535000005</v>
      </c>
      <c r="M31" s="16">
        <f t="shared" si="7"/>
        <v>301682.33061750006</v>
      </c>
      <c r="N31" s="16">
        <f t="shared" si="7"/>
        <v>316766.4471483751</v>
      </c>
      <c r="O31" s="16">
        <f t="shared" si="7"/>
        <v>332604.76950579387</v>
      </c>
      <c r="P31" s="16">
        <f t="shared" si="7"/>
        <v>349235.00798108359</v>
      </c>
      <c r="Q31" s="16">
        <f t="shared" si="7"/>
        <v>366696.75838013779</v>
      </c>
      <c r="R31" s="16">
        <f t="shared" si="7"/>
        <v>385031.59629914467</v>
      </c>
      <c r="S31" s="16">
        <f t="shared" si="7"/>
        <v>404283.17611410189</v>
      </c>
      <c r="T31" s="16">
        <f t="shared" si="7"/>
        <v>424497.33491980704</v>
      </c>
      <c r="U31" s="16">
        <f t="shared" si="7"/>
        <v>445722.20166579739</v>
      </c>
      <c r="V31" s="16">
        <f t="shared" si="7"/>
        <v>468008.3117490873</v>
      </c>
      <c r="W31" s="16">
        <f t="shared" si="7"/>
        <v>491408.72733654169</v>
      </c>
      <c r="X31" s="16">
        <f t="shared" si="7"/>
        <v>515979.1637033688</v>
      </c>
      <c r="Y31" s="16">
        <f t="shared" si="7"/>
        <v>541778.12188853731</v>
      </c>
      <c r="Z31" s="16">
        <f t="shared" si="7"/>
        <v>568867.02798296418</v>
      </c>
      <c r="AA31" s="16">
        <f t="shared" si="7"/>
        <v>597310.37938211241</v>
      </c>
      <c r="AB31" s="16">
        <f t="shared" si="7"/>
        <v>627175.89835121809</v>
      </c>
      <c r="AC31" s="16">
        <f t="shared" si="7"/>
        <v>658534.69326877897</v>
      </c>
      <c r="AD31" s="16">
        <f t="shared" si="7"/>
        <v>691461.42793221795</v>
      </c>
      <c r="AE31" s="16">
        <f t="shared" si="7"/>
        <v>726034.49932882888</v>
      </c>
      <c r="AF31" s="16">
        <f t="shared" si="7"/>
        <v>762336.2242952704</v>
      </c>
      <c r="AG31" s="16">
        <f t="shared" si="7"/>
        <v>800453.03551003395</v>
      </c>
      <c r="AH31" s="16">
        <f t="shared" si="7"/>
        <v>840475.68728553574</v>
      </c>
      <c r="AI31" s="16">
        <f t="shared" si="7"/>
        <v>882499.47164981253</v>
      </c>
      <c r="AJ31" s="16">
        <f t="shared" si="7"/>
        <v>926624.44523230323</v>
      </c>
      <c r="AK31" s="16">
        <f t="shared" si="7"/>
        <v>972955.66749391844</v>
      </c>
      <c r="AL31" s="16">
        <f t="shared" si="7"/>
        <v>1021603.4508686144</v>
      </c>
      <c r="AM31" s="16">
        <f t="shared" si="7"/>
        <v>1072683.6234120452</v>
      </c>
      <c r="AN31" s="16">
        <f t="shared" si="7"/>
        <v>1126317.8045826475</v>
      </c>
      <c r="AO31" s="16">
        <f t="shared" si="7"/>
        <v>1182633.69481178</v>
      </c>
      <c r="AP31" s="16">
        <f t="shared" si="7"/>
        <v>1241765.379552369</v>
      </c>
      <c r="AQ31" s="16">
        <f t="shared" si="7"/>
        <v>1303853.6485299875</v>
      </c>
      <c r="AR31" s="16">
        <f t="shared" si="7"/>
        <v>1369046.330956487</v>
      </c>
      <c r="AS31" s="16">
        <f t="shared" si="7"/>
        <v>1437498.6475043113</v>
      </c>
      <c r="AT31" s="16">
        <f t="shared" si="7"/>
        <v>1509373.579879527</v>
      </c>
      <c r="AU31" s="16">
        <f t="shared" si="7"/>
        <v>1584842.2588735034</v>
      </c>
      <c r="AV31" s="16">
        <f t="shared" si="7"/>
        <v>1664084.3718171786</v>
      </c>
    </row>
    <row r="32" spans="1:48" ht="13.15" customHeight="1" x14ac:dyDescent="0.2">
      <c r="A32" s="21" t="s">
        <v>42</v>
      </c>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row>
    <row r="33" spans="1:48" ht="13.15" customHeight="1" x14ac:dyDescent="0.2">
      <c r="A33" s="39" t="s">
        <v>113</v>
      </c>
      <c r="B33" s="31">
        <v>115443</v>
      </c>
      <c r="C33" s="31">
        <v>121087</v>
      </c>
      <c r="D33" s="53">
        <v>135354.69</v>
      </c>
      <c r="E33" s="53">
        <v>125640</v>
      </c>
      <c r="F33" s="53">
        <v>142500</v>
      </c>
      <c r="G33" s="16">
        <f t="shared" ref="G33:AV33" si="8">+F33*(1+G7)</f>
        <v>149625</v>
      </c>
      <c r="H33" s="16">
        <f t="shared" si="8"/>
        <v>157106.25</v>
      </c>
      <c r="I33" s="16">
        <f t="shared" si="8"/>
        <v>164961.5625</v>
      </c>
      <c r="J33" s="16">
        <f t="shared" si="8"/>
        <v>173209.640625</v>
      </c>
      <c r="K33" s="16">
        <f t="shared" si="8"/>
        <v>181870.12265624999</v>
      </c>
      <c r="L33" s="16">
        <f t="shared" si="8"/>
        <v>190963.6287890625</v>
      </c>
      <c r="M33" s="16">
        <f t="shared" si="8"/>
        <v>200511.81022851562</v>
      </c>
      <c r="N33" s="16">
        <f t="shared" si="8"/>
        <v>210537.4007399414</v>
      </c>
      <c r="O33" s="16">
        <f t="shared" si="8"/>
        <v>221064.27077693847</v>
      </c>
      <c r="P33" s="16">
        <f t="shared" si="8"/>
        <v>232117.4843157854</v>
      </c>
      <c r="Q33" s="16">
        <f t="shared" si="8"/>
        <v>243723.35853157469</v>
      </c>
      <c r="R33" s="16">
        <f t="shared" si="8"/>
        <v>255909.52645815344</v>
      </c>
      <c r="S33" s="16">
        <f t="shared" si="8"/>
        <v>268705.00278106111</v>
      </c>
      <c r="T33" s="16">
        <f t="shared" si="8"/>
        <v>282140.2529201142</v>
      </c>
      <c r="U33" s="16">
        <f t="shared" si="8"/>
        <v>296247.26556611992</v>
      </c>
      <c r="V33" s="16">
        <f t="shared" si="8"/>
        <v>311059.62884442596</v>
      </c>
      <c r="W33" s="16">
        <f t="shared" si="8"/>
        <v>326612.61028664728</v>
      </c>
      <c r="X33" s="16">
        <f t="shared" si="8"/>
        <v>342943.24080097966</v>
      </c>
      <c r="Y33" s="16">
        <f t="shared" si="8"/>
        <v>360090.40284102864</v>
      </c>
      <c r="Z33" s="16">
        <f t="shared" si="8"/>
        <v>378094.92298308009</v>
      </c>
      <c r="AA33" s="16">
        <f t="shared" si="8"/>
        <v>396999.66913223412</v>
      </c>
      <c r="AB33" s="16">
        <f t="shared" si="8"/>
        <v>416849.65258884587</v>
      </c>
      <c r="AC33" s="16">
        <f t="shared" si="8"/>
        <v>437692.13521828817</v>
      </c>
      <c r="AD33" s="16">
        <f t="shared" si="8"/>
        <v>459576.7419792026</v>
      </c>
      <c r="AE33" s="16">
        <f t="shared" si="8"/>
        <v>482555.57907816273</v>
      </c>
      <c r="AF33" s="16">
        <f t="shared" si="8"/>
        <v>506683.35803207092</v>
      </c>
      <c r="AG33" s="16">
        <f t="shared" si="8"/>
        <v>532017.52593367454</v>
      </c>
      <c r="AH33" s="16">
        <f t="shared" si="8"/>
        <v>558618.40223035833</v>
      </c>
      <c r="AI33" s="16">
        <f t="shared" si="8"/>
        <v>586549.32234187622</v>
      </c>
      <c r="AJ33" s="16">
        <f t="shared" si="8"/>
        <v>615876.78845897003</v>
      </c>
      <c r="AK33" s="16">
        <f t="shared" si="8"/>
        <v>646670.62788191857</v>
      </c>
      <c r="AL33" s="16">
        <f t="shared" si="8"/>
        <v>679004.15927601454</v>
      </c>
      <c r="AM33" s="16">
        <f t="shared" si="8"/>
        <v>712954.3672398153</v>
      </c>
      <c r="AN33" s="16">
        <f t="shared" si="8"/>
        <v>748602.08560180606</v>
      </c>
      <c r="AO33" s="16">
        <f t="shared" si="8"/>
        <v>786032.18988189637</v>
      </c>
      <c r="AP33" s="16">
        <f t="shared" si="8"/>
        <v>825333.79937599122</v>
      </c>
      <c r="AQ33" s="16">
        <f t="shared" si="8"/>
        <v>866600.48934479081</v>
      </c>
      <c r="AR33" s="16">
        <f t="shared" si="8"/>
        <v>909930.51381203043</v>
      </c>
      <c r="AS33" s="16">
        <f t="shared" si="8"/>
        <v>955427.03950263199</v>
      </c>
      <c r="AT33" s="16">
        <f t="shared" si="8"/>
        <v>1003198.3914777637</v>
      </c>
      <c r="AU33" s="16">
        <f t="shared" si="8"/>
        <v>1053358.3110516518</v>
      </c>
      <c r="AV33" s="16">
        <f t="shared" si="8"/>
        <v>1106026.2266042344</v>
      </c>
    </row>
    <row r="34" spans="1:48" ht="13.15" customHeight="1" x14ac:dyDescent="0.2">
      <c r="A34" s="39" t="s">
        <v>40</v>
      </c>
      <c r="B34" s="31">
        <v>32000</v>
      </c>
      <c r="C34" s="31">
        <v>28350</v>
      </c>
      <c r="D34" s="31">
        <v>41735.17</v>
      </c>
      <c r="E34" s="15">
        <v>30910</v>
      </c>
      <c r="F34" s="15">
        <v>35900</v>
      </c>
      <c r="G34" s="16">
        <f t="shared" ref="G34:AV34" si="9">+F34*(1+G7)</f>
        <v>37695</v>
      </c>
      <c r="H34" s="16">
        <f t="shared" si="9"/>
        <v>39579.75</v>
      </c>
      <c r="I34" s="16">
        <f t="shared" si="9"/>
        <v>41558.737500000003</v>
      </c>
      <c r="J34" s="16">
        <f t="shared" si="9"/>
        <v>43636.674375000002</v>
      </c>
      <c r="K34" s="16">
        <f t="shared" si="9"/>
        <v>45818.508093750002</v>
      </c>
      <c r="L34" s="16">
        <f t="shared" si="9"/>
        <v>48109.433498437502</v>
      </c>
      <c r="M34" s="16">
        <f t="shared" si="9"/>
        <v>50514.905173359381</v>
      </c>
      <c r="N34" s="16">
        <f t="shared" si="9"/>
        <v>53040.650432027353</v>
      </c>
      <c r="O34" s="16">
        <f t="shared" si="9"/>
        <v>55692.682953628726</v>
      </c>
      <c r="P34" s="16">
        <f t="shared" si="9"/>
        <v>58477.317101310167</v>
      </c>
      <c r="Q34" s="16">
        <f t="shared" si="9"/>
        <v>61401.182956375676</v>
      </c>
      <c r="R34" s="16">
        <f t="shared" si="9"/>
        <v>64471.242104194462</v>
      </c>
      <c r="S34" s="16">
        <f t="shared" si="9"/>
        <v>67694.804209404188</v>
      </c>
      <c r="T34" s="16">
        <f t="shared" si="9"/>
        <v>71079.544419874408</v>
      </c>
      <c r="U34" s="16">
        <f t="shared" si="9"/>
        <v>74633.52164086813</v>
      </c>
      <c r="V34" s="16">
        <f t="shared" si="9"/>
        <v>78365.197722911544</v>
      </c>
      <c r="W34" s="16">
        <f t="shared" si="9"/>
        <v>82283.457609057121</v>
      </c>
      <c r="X34" s="16">
        <f t="shared" si="9"/>
        <v>86397.630489509975</v>
      </c>
      <c r="Y34" s="16">
        <f t="shared" si="9"/>
        <v>90717.512013985484</v>
      </c>
      <c r="Z34" s="16">
        <f t="shared" si="9"/>
        <v>95253.387614684762</v>
      </c>
      <c r="AA34" s="16">
        <f t="shared" si="9"/>
        <v>100016.056995419</v>
      </c>
      <c r="AB34" s="16">
        <f t="shared" si="9"/>
        <v>105016.85984518996</v>
      </c>
      <c r="AC34" s="16">
        <f t="shared" si="9"/>
        <v>110267.70283744947</v>
      </c>
      <c r="AD34" s="16">
        <f t="shared" si="9"/>
        <v>115781.08797932195</v>
      </c>
      <c r="AE34" s="16">
        <f t="shared" si="9"/>
        <v>121570.14237828806</v>
      </c>
      <c r="AF34" s="16">
        <f t="shared" si="9"/>
        <v>127648.64949720247</v>
      </c>
      <c r="AG34" s="16">
        <f t="shared" si="9"/>
        <v>134031.08197206259</v>
      </c>
      <c r="AH34" s="16">
        <f t="shared" si="9"/>
        <v>140732.63607066573</v>
      </c>
      <c r="AI34" s="16">
        <f t="shared" si="9"/>
        <v>147769.26787419902</v>
      </c>
      <c r="AJ34" s="16">
        <f t="shared" si="9"/>
        <v>155157.731267909</v>
      </c>
      <c r="AK34" s="16">
        <f t="shared" si="9"/>
        <v>162915.61783130447</v>
      </c>
      <c r="AL34" s="16">
        <f t="shared" si="9"/>
        <v>171061.39872286969</v>
      </c>
      <c r="AM34" s="16">
        <f t="shared" si="9"/>
        <v>179614.46865901319</v>
      </c>
      <c r="AN34" s="16">
        <f t="shared" si="9"/>
        <v>188595.19209196387</v>
      </c>
      <c r="AO34" s="16">
        <f t="shared" si="9"/>
        <v>198024.95169656206</v>
      </c>
      <c r="AP34" s="16">
        <f t="shared" si="9"/>
        <v>207926.19928139017</v>
      </c>
      <c r="AQ34" s="16">
        <f t="shared" si="9"/>
        <v>218322.50924545969</v>
      </c>
      <c r="AR34" s="16">
        <f t="shared" si="9"/>
        <v>229238.63470773268</v>
      </c>
      <c r="AS34" s="16">
        <f t="shared" si="9"/>
        <v>240700.56644311931</v>
      </c>
      <c r="AT34" s="16">
        <f t="shared" si="9"/>
        <v>252735.59476527528</v>
      </c>
      <c r="AU34" s="16">
        <f t="shared" si="9"/>
        <v>265372.37450353906</v>
      </c>
      <c r="AV34" s="16">
        <f t="shared" si="9"/>
        <v>278640.99322871602</v>
      </c>
    </row>
    <row r="35" spans="1:48" ht="13.15" customHeight="1" x14ac:dyDescent="0.2">
      <c r="A35" s="40" t="s">
        <v>43</v>
      </c>
      <c r="B35" s="47"/>
      <c r="C35" s="47"/>
      <c r="D35" s="47"/>
      <c r="E35" s="47"/>
      <c r="F35" s="47"/>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row>
    <row r="36" spans="1:48" ht="13.15" customHeight="1" x14ac:dyDescent="0.2">
      <c r="A36" s="39" t="s">
        <v>44</v>
      </c>
      <c r="B36" s="31">
        <v>0</v>
      </c>
      <c r="C36" s="31">
        <v>0</v>
      </c>
      <c r="D36" s="31">
        <v>0</v>
      </c>
      <c r="E36" s="48">
        <v>0</v>
      </c>
      <c r="F36" s="48">
        <v>0</v>
      </c>
      <c r="G36" s="48">
        <v>0</v>
      </c>
      <c r="H36" s="48">
        <v>0</v>
      </c>
      <c r="I36" s="48">
        <v>0</v>
      </c>
      <c r="J36" s="48">
        <v>0</v>
      </c>
      <c r="K36" s="48">
        <v>0</v>
      </c>
      <c r="L36" s="48">
        <v>0</v>
      </c>
      <c r="M36" s="48">
        <v>0</v>
      </c>
      <c r="N36" s="48">
        <v>0</v>
      </c>
      <c r="O36" s="48">
        <v>0</v>
      </c>
      <c r="P36" s="48">
        <v>0</v>
      </c>
      <c r="Q36" s="48">
        <v>0</v>
      </c>
      <c r="R36" s="48">
        <v>0</v>
      </c>
      <c r="S36" s="48">
        <v>0</v>
      </c>
      <c r="T36" s="48">
        <v>0</v>
      </c>
      <c r="U36" s="48">
        <v>0</v>
      </c>
      <c r="V36" s="48">
        <v>0</v>
      </c>
      <c r="W36" s="48">
        <v>0</v>
      </c>
      <c r="X36" s="48">
        <v>0</v>
      </c>
      <c r="Y36" s="48">
        <v>0</v>
      </c>
      <c r="Z36" s="48">
        <v>0</v>
      </c>
      <c r="AA36" s="48">
        <v>0</v>
      </c>
      <c r="AB36" s="48">
        <v>0</v>
      </c>
      <c r="AC36" s="48">
        <v>0</v>
      </c>
      <c r="AD36" s="48">
        <v>0</v>
      </c>
      <c r="AE36" s="48">
        <v>0</v>
      </c>
      <c r="AF36" s="48">
        <v>0</v>
      </c>
      <c r="AG36" s="48">
        <v>0</v>
      </c>
      <c r="AH36" s="48">
        <v>0</v>
      </c>
      <c r="AI36" s="48">
        <v>0</v>
      </c>
      <c r="AJ36" s="48">
        <v>0</v>
      </c>
      <c r="AK36" s="48">
        <v>0</v>
      </c>
      <c r="AL36" s="48">
        <v>0</v>
      </c>
      <c r="AM36" s="48">
        <v>0</v>
      </c>
      <c r="AN36" s="48">
        <v>0</v>
      </c>
      <c r="AO36" s="48">
        <v>0</v>
      </c>
      <c r="AP36" s="48">
        <v>0</v>
      </c>
      <c r="AQ36" s="48">
        <v>0</v>
      </c>
      <c r="AR36" s="48">
        <v>0</v>
      </c>
      <c r="AS36" s="48">
        <v>0</v>
      </c>
      <c r="AT36" s="48">
        <v>0</v>
      </c>
      <c r="AU36" s="48">
        <v>0</v>
      </c>
      <c r="AV36" s="48">
        <v>0</v>
      </c>
    </row>
    <row r="37" spans="1:48" ht="13.15" customHeight="1" x14ac:dyDescent="0.2">
      <c r="A37" s="39" t="s">
        <v>54</v>
      </c>
      <c r="B37" s="31">
        <v>758877</v>
      </c>
      <c r="C37" s="31">
        <v>473492</v>
      </c>
      <c r="D37" s="31">
        <v>473491.7</v>
      </c>
      <c r="E37" s="15">
        <v>473493</v>
      </c>
      <c r="F37" s="15">
        <v>473493</v>
      </c>
      <c r="G37" s="15">
        <v>473493</v>
      </c>
      <c r="H37" s="15">
        <v>473493</v>
      </c>
      <c r="I37" s="15">
        <v>473493</v>
      </c>
      <c r="J37" s="15">
        <v>473493</v>
      </c>
      <c r="K37" s="15">
        <v>473493</v>
      </c>
      <c r="L37" s="15">
        <v>473493</v>
      </c>
      <c r="M37" s="15">
        <v>473493</v>
      </c>
      <c r="N37" s="15">
        <v>473493</v>
      </c>
      <c r="O37" s="15">
        <v>473493</v>
      </c>
      <c r="P37" s="15">
        <v>473493</v>
      </c>
      <c r="Q37" s="15">
        <v>473493</v>
      </c>
      <c r="R37" s="15">
        <v>473493</v>
      </c>
      <c r="S37" s="15">
        <v>473493</v>
      </c>
      <c r="T37" s="15">
        <v>0</v>
      </c>
      <c r="U37" s="15">
        <v>0</v>
      </c>
      <c r="V37" s="15">
        <v>0</v>
      </c>
      <c r="W37" s="15">
        <v>0</v>
      </c>
      <c r="X37" s="15">
        <v>0</v>
      </c>
      <c r="Y37" s="15">
        <v>0</v>
      </c>
      <c r="Z37" s="15">
        <v>0</v>
      </c>
      <c r="AA37" s="15">
        <v>0</v>
      </c>
      <c r="AB37" s="15">
        <v>0</v>
      </c>
      <c r="AC37" s="15">
        <v>0</v>
      </c>
      <c r="AD37" s="15">
        <v>0</v>
      </c>
      <c r="AE37" s="15">
        <v>0</v>
      </c>
      <c r="AF37" s="15">
        <v>0</v>
      </c>
      <c r="AG37" s="15">
        <v>0</v>
      </c>
      <c r="AH37" s="15">
        <v>0</v>
      </c>
      <c r="AI37" s="15">
        <v>0</v>
      </c>
      <c r="AJ37" s="15">
        <v>0</v>
      </c>
      <c r="AK37" s="15">
        <v>0</v>
      </c>
      <c r="AL37" s="15">
        <v>0</v>
      </c>
      <c r="AM37" s="15">
        <v>0</v>
      </c>
      <c r="AN37" s="15">
        <v>0</v>
      </c>
      <c r="AO37" s="15">
        <v>0</v>
      </c>
      <c r="AP37" s="15">
        <v>0</v>
      </c>
      <c r="AQ37" s="15">
        <v>0</v>
      </c>
      <c r="AR37" s="15">
        <v>0</v>
      </c>
      <c r="AS37" s="15">
        <v>0</v>
      </c>
      <c r="AT37" s="15">
        <v>0</v>
      </c>
      <c r="AU37" s="15">
        <v>0</v>
      </c>
      <c r="AV37" s="15">
        <v>0</v>
      </c>
    </row>
    <row r="38" spans="1:48" ht="13.15" customHeight="1" x14ac:dyDescent="0.2">
      <c r="A38" s="39" t="s">
        <v>45</v>
      </c>
      <c r="B38" s="31">
        <v>8325</v>
      </c>
      <c r="C38" s="31">
        <v>8325</v>
      </c>
      <c r="D38" s="31">
        <v>8324.56</v>
      </c>
      <c r="E38" s="15">
        <v>8325</v>
      </c>
      <c r="F38" s="15">
        <v>8325</v>
      </c>
      <c r="G38" s="15">
        <v>8325</v>
      </c>
      <c r="H38" s="15">
        <v>8325</v>
      </c>
      <c r="I38" s="15">
        <v>8325</v>
      </c>
      <c r="J38" s="15">
        <v>8325</v>
      </c>
      <c r="K38" s="15">
        <v>8325</v>
      </c>
      <c r="L38" s="15">
        <v>8325</v>
      </c>
      <c r="M38" s="15">
        <v>4162.28</v>
      </c>
      <c r="N38" s="15">
        <v>0</v>
      </c>
      <c r="O38" s="15">
        <v>0</v>
      </c>
      <c r="P38" s="15">
        <v>0</v>
      </c>
      <c r="Q38" s="15">
        <v>0</v>
      </c>
      <c r="R38" s="15">
        <v>0</v>
      </c>
      <c r="S38" s="15">
        <v>0</v>
      </c>
      <c r="T38" s="15">
        <v>0</v>
      </c>
      <c r="U38" s="15">
        <v>0</v>
      </c>
      <c r="V38" s="15">
        <v>0</v>
      </c>
      <c r="W38" s="15">
        <v>0</v>
      </c>
      <c r="X38" s="15">
        <v>0</v>
      </c>
      <c r="Y38" s="15">
        <v>0</v>
      </c>
      <c r="Z38" s="15">
        <v>0</v>
      </c>
      <c r="AA38" s="15">
        <v>0</v>
      </c>
      <c r="AB38" s="15">
        <v>0</v>
      </c>
      <c r="AC38" s="15">
        <v>0</v>
      </c>
      <c r="AD38" s="15">
        <v>0</v>
      </c>
      <c r="AE38" s="15">
        <v>0</v>
      </c>
      <c r="AF38" s="15">
        <v>0</v>
      </c>
      <c r="AG38" s="15">
        <v>0</v>
      </c>
      <c r="AH38" s="15">
        <v>0</v>
      </c>
      <c r="AI38" s="15">
        <v>0</v>
      </c>
      <c r="AJ38" s="15">
        <v>0</v>
      </c>
      <c r="AK38" s="15">
        <v>0</v>
      </c>
      <c r="AL38" s="15">
        <v>0</v>
      </c>
      <c r="AM38" s="15">
        <v>0</v>
      </c>
      <c r="AN38" s="15">
        <v>0</v>
      </c>
      <c r="AO38" s="15">
        <v>0</v>
      </c>
      <c r="AP38" s="15">
        <v>0</v>
      </c>
      <c r="AQ38" s="15">
        <v>0</v>
      </c>
      <c r="AR38" s="15">
        <v>0</v>
      </c>
      <c r="AS38" s="15">
        <v>0</v>
      </c>
      <c r="AT38" s="15">
        <v>0</v>
      </c>
      <c r="AU38" s="15">
        <v>0</v>
      </c>
      <c r="AV38" s="15">
        <v>0</v>
      </c>
    </row>
    <row r="39" spans="1:48" ht="13.15" customHeight="1" x14ac:dyDescent="0.2">
      <c r="A39" s="39" t="s">
        <v>114</v>
      </c>
      <c r="B39" s="31">
        <v>40000</v>
      </c>
      <c r="C39" s="31">
        <v>40000</v>
      </c>
      <c r="D39" s="31">
        <v>20000</v>
      </c>
      <c r="E39" s="15">
        <v>40000</v>
      </c>
      <c r="F39" s="15">
        <v>40000</v>
      </c>
      <c r="G39" s="15">
        <v>40000</v>
      </c>
      <c r="H39" s="15">
        <v>40000</v>
      </c>
      <c r="I39" s="15">
        <v>40000</v>
      </c>
      <c r="J39" s="15">
        <v>40000</v>
      </c>
      <c r="K39" s="15">
        <v>40000</v>
      </c>
      <c r="L39" s="15">
        <v>40000</v>
      </c>
      <c r="M39" s="15">
        <v>40000</v>
      </c>
      <c r="N39" s="15">
        <v>40000</v>
      </c>
      <c r="O39" s="15">
        <v>40000</v>
      </c>
      <c r="P39" s="15">
        <v>40000</v>
      </c>
      <c r="Q39" s="15">
        <v>40000</v>
      </c>
      <c r="R39" s="15">
        <v>40000</v>
      </c>
      <c r="S39" s="15">
        <v>40000</v>
      </c>
      <c r="T39" s="15">
        <v>40000</v>
      </c>
      <c r="U39" s="15">
        <v>40000</v>
      </c>
      <c r="V39" s="15">
        <v>40000</v>
      </c>
      <c r="W39" s="15">
        <v>40000</v>
      </c>
      <c r="X39" s="15">
        <v>40000</v>
      </c>
      <c r="Y39" s="15">
        <v>40000</v>
      </c>
      <c r="Z39" s="15">
        <v>40000</v>
      </c>
      <c r="AA39" s="15">
        <v>40000</v>
      </c>
      <c r="AB39" s="15">
        <v>40000</v>
      </c>
      <c r="AC39" s="15">
        <v>40000</v>
      </c>
      <c r="AD39" s="15">
        <v>40000</v>
      </c>
      <c r="AE39" s="15">
        <v>40000</v>
      </c>
      <c r="AF39" s="15">
        <v>40000</v>
      </c>
      <c r="AG39" s="15">
        <v>40000</v>
      </c>
      <c r="AH39" s="15">
        <v>40000</v>
      </c>
      <c r="AI39" s="15">
        <v>40000</v>
      </c>
      <c r="AJ39" s="15">
        <v>40000</v>
      </c>
      <c r="AK39" s="15">
        <v>40000</v>
      </c>
      <c r="AL39" s="15">
        <v>40000</v>
      </c>
      <c r="AM39" s="15">
        <v>40000</v>
      </c>
      <c r="AN39" s="15">
        <v>40000</v>
      </c>
      <c r="AO39" s="15">
        <v>40000</v>
      </c>
      <c r="AP39" s="15">
        <v>40000</v>
      </c>
      <c r="AQ39" s="15">
        <v>40000</v>
      </c>
      <c r="AR39" s="15">
        <v>40000</v>
      </c>
      <c r="AS39" s="15">
        <v>40000</v>
      </c>
      <c r="AT39" s="15">
        <v>40000</v>
      </c>
      <c r="AU39" s="15">
        <v>40000</v>
      </c>
      <c r="AV39" s="15">
        <v>40000</v>
      </c>
    </row>
    <row r="40" spans="1:48" ht="13.15" customHeight="1" x14ac:dyDescent="0.2">
      <c r="A40" s="39" t="s">
        <v>115</v>
      </c>
      <c r="B40" s="31">
        <v>207576</v>
      </c>
      <c r="C40" s="31">
        <v>241000</v>
      </c>
      <c r="D40" s="31">
        <v>265000</v>
      </c>
      <c r="E40" s="15">
        <v>265000</v>
      </c>
      <c r="F40" s="15">
        <v>302000</v>
      </c>
      <c r="G40" s="15">
        <v>302000</v>
      </c>
      <c r="H40" s="15">
        <v>302000</v>
      </c>
      <c r="I40" s="15">
        <v>302000</v>
      </c>
      <c r="J40" s="15">
        <v>302000</v>
      </c>
      <c r="K40" s="15">
        <v>302000</v>
      </c>
      <c r="L40" s="15">
        <v>302000</v>
      </c>
      <c r="M40" s="15">
        <v>302000</v>
      </c>
      <c r="N40" s="15">
        <v>302000</v>
      </c>
      <c r="O40" s="15">
        <v>302000</v>
      </c>
      <c r="P40" s="15">
        <v>302000</v>
      </c>
      <c r="Q40" s="15">
        <v>302000</v>
      </c>
      <c r="R40" s="15">
        <v>302000</v>
      </c>
      <c r="S40" s="15">
        <v>302000</v>
      </c>
      <c r="T40" s="15">
        <v>302000</v>
      </c>
      <c r="U40" s="15">
        <v>302000</v>
      </c>
      <c r="V40" s="15">
        <v>302000</v>
      </c>
      <c r="W40" s="15">
        <v>302000</v>
      </c>
      <c r="X40" s="15">
        <v>302000</v>
      </c>
      <c r="Y40" s="15">
        <v>302000</v>
      </c>
      <c r="Z40" s="15">
        <v>302000</v>
      </c>
      <c r="AA40" s="15">
        <v>302000</v>
      </c>
      <c r="AB40" s="15">
        <v>302000</v>
      </c>
      <c r="AC40" s="15">
        <v>302000</v>
      </c>
      <c r="AD40" s="15">
        <v>302000</v>
      </c>
      <c r="AE40" s="15">
        <v>302000</v>
      </c>
      <c r="AF40" s="15">
        <v>302000</v>
      </c>
      <c r="AG40" s="15">
        <v>302000</v>
      </c>
      <c r="AH40" s="15">
        <v>302000</v>
      </c>
      <c r="AI40" s="15">
        <v>302000</v>
      </c>
      <c r="AJ40" s="15">
        <v>302000</v>
      </c>
      <c r="AK40" s="15">
        <v>302000</v>
      </c>
      <c r="AL40" s="15">
        <v>302000</v>
      </c>
      <c r="AM40" s="15">
        <v>302000</v>
      </c>
      <c r="AN40" s="15">
        <v>302000</v>
      </c>
      <c r="AO40" s="15">
        <v>302000</v>
      </c>
      <c r="AP40" s="15">
        <v>302000</v>
      </c>
      <c r="AQ40" s="15">
        <v>302000</v>
      </c>
      <c r="AR40" s="15">
        <v>302000</v>
      </c>
      <c r="AS40" s="15">
        <v>302000</v>
      </c>
      <c r="AT40" s="15">
        <v>302000</v>
      </c>
      <c r="AU40" s="15">
        <v>302000</v>
      </c>
      <c r="AV40" s="15">
        <v>302000</v>
      </c>
    </row>
    <row r="41" spans="1:48" ht="13.15" customHeight="1" x14ac:dyDescent="0.2">
      <c r="A41" s="39" t="s">
        <v>46</v>
      </c>
      <c r="B41" s="31">
        <v>240000</v>
      </c>
      <c r="C41" s="31">
        <v>120000</v>
      </c>
      <c r="D41" s="31">
        <v>120000</v>
      </c>
      <c r="E41" s="15">
        <v>120000</v>
      </c>
      <c r="F41" s="15">
        <v>0</v>
      </c>
      <c r="G41" s="15">
        <f t="shared" ref="G41:AV41" si="10">(F41*G7)+F41</f>
        <v>0</v>
      </c>
      <c r="H41" s="15">
        <f t="shared" si="10"/>
        <v>0</v>
      </c>
      <c r="I41" s="15">
        <f t="shared" si="10"/>
        <v>0</v>
      </c>
      <c r="J41" s="15">
        <f t="shared" si="10"/>
        <v>0</v>
      </c>
      <c r="K41" s="15">
        <f t="shared" si="10"/>
        <v>0</v>
      </c>
      <c r="L41" s="15">
        <f t="shared" si="10"/>
        <v>0</v>
      </c>
      <c r="M41" s="15">
        <f t="shared" si="10"/>
        <v>0</v>
      </c>
      <c r="N41" s="15">
        <f t="shared" si="10"/>
        <v>0</v>
      </c>
      <c r="O41" s="15">
        <f t="shared" si="10"/>
        <v>0</v>
      </c>
      <c r="P41" s="15">
        <f t="shared" si="10"/>
        <v>0</v>
      </c>
      <c r="Q41" s="15">
        <f t="shared" si="10"/>
        <v>0</v>
      </c>
      <c r="R41" s="15">
        <f t="shared" si="10"/>
        <v>0</v>
      </c>
      <c r="S41" s="15">
        <f t="shared" si="10"/>
        <v>0</v>
      </c>
      <c r="T41" s="15">
        <f t="shared" si="10"/>
        <v>0</v>
      </c>
      <c r="U41" s="15">
        <f t="shared" si="10"/>
        <v>0</v>
      </c>
      <c r="V41" s="15">
        <f t="shared" si="10"/>
        <v>0</v>
      </c>
      <c r="W41" s="15">
        <f t="shared" si="10"/>
        <v>0</v>
      </c>
      <c r="X41" s="15">
        <f t="shared" si="10"/>
        <v>0</v>
      </c>
      <c r="Y41" s="15">
        <f t="shared" si="10"/>
        <v>0</v>
      </c>
      <c r="Z41" s="15">
        <f t="shared" si="10"/>
        <v>0</v>
      </c>
      <c r="AA41" s="15">
        <f t="shared" si="10"/>
        <v>0</v>
      </c>
      <c r="AB41" s="15">
        <f t="shared" si="10"/>
        <v>0</v>
      </c>
      <c r="AC41" s="15">
        <f t="shared" si="10"/>
        <v>0</v>
      </c>
      <c r="AD41" s="15">
        <f t="shared" si="10"/>
        <v>0</v>
      </c>
      <c r="AE41" s="15">
        <f t="shared" si="10"/>
        <v>0</v>
      </c>
      <c r="AF41" s="15">
        <f t="shared" si="10"/>
        <v>0</v>
      </c>
      <c r="AG41" s="15">
        <f t="shared" si="10"/>
        <v>0</v>
      </c>
      <c r="AH41" s="15">
        <f t="shared" si="10"/>
        <v>0</v>
      </c>
      <c r="AI41" s="15">
        <f t="shared" si="10"/>
        <v>0</v>
      </c>
      <c r="AJ41" s="15">
        <f t="shared" si="10"/>
        <v>0</v>
      </c>
      <c r="AK41" s="15">
        <f t="shared" si="10"/>
        <v>0</v>
      </c>
      <c r="AL41" s="15">
        <f t="shared" si="10"/>
        <v>0</v>
      </c>
      <c r="AM41" s="15">
        <f t="shared" si="10"/>
        <v>0</v>
      </c>
      <c r="AN41" s="15">
        <f t="shared" si="10"/>
        <v>0</v>
      </c>
      <c r="AO41" s="15">
        <f t="shared" si="10"/>
        <v>0</v>
      </c>
      <c r="AP41" s="15">
        <f t="shared" si="10"/>
        <v>0</v>
      </c>
      <c r="AQ41" s="15">
        <f t="shared" si="10"/>
        <v>0</v>
      </c>
      <c r="AR41" s="15">
        <f t="shared" si="10"/>
        <v>0</v>
      </c>
      <c r="AS41" s="15">
        <f t="shared" si="10"/>
        <v>0</v>
      </c>
      <c r="AT41" s="15">
        <f t="shared" si="10"/>
        <v>0</v>
      </c>
      <c r="AU41" s="15">
        <f t="shared" si="10"/>
        <v>0</v>
      </c>
      <c r="AV41" s="15">
        <f t="shared" si="10"/>
        <v>0</v>
      </c>
    </row>
    <row r="42" spans="1:48" ht="13.15" customHeight="1" x14ac:dyDescent="0.2">
      <c r="A42" s="39" t="s">
        <v>47</v>
      </c>
      <c r="B42" s="31">
        <v>37560</v>
      </c>
      <c r="C42" s="31">
        <v>22950</v>
      </c>
      <c r="D42" s="31">
        <v>15300.02</v>
      </c>
      <c r="E42" s="15">
        <v>7650</v>
      </c>
      <c r="F42" s="15">
        <v>0</v>
      </c>
      <c r="G42" s="15">
        <v>0</v>
      </c>
      <c r="H42" s="15">
        <v>0</v>
      </c>
      <c r="I42" s="15">
        <v>0</v>
      </c>
      <c r="J42" s="15">
        <v>0</v>
      </c>
      <c r="K42" s="15">
        <v>0</v>
      </c>
      <c r="L42" s="15">
        <v>0</v>
      </c>
      <c r="M42" s="15">
        <v>0</v>
      </c>
      <c r="N42" s="15">
        <v>0</v>
      </c>
      <c r="O42" s="15">
        <v>0</v>
      </c>
      <c r="P42" s="15">
        <v>0</v>
      </c>
      <c r="Q42" s="15">
        <v>0</v>
      </c>
      <c r="R42" s="15">
        <v>0</v>
      </c>
      <c r="S42" s="15">
        <v>0</v>
      </c>
      <c r="T42" s="15">
        <v>0</v>
      </c>
      <c r="U42" s="15">
        <v>0</v>
      </c>
      <c r="V42" s="15">
        <v>0</v>
      </c>
      <c r="W42" s="15">
        <v>0</v>
      </c>
      <c r="X42" s="15">
        <v>0</v>
      </c>
      <c r="Y42" s="15">
        <v>0</v>
      </c>
      <c r="Z42" s="15">
        <v>0</v>
      </c>
      <c r="AA42" s="15">
        <v>0</v>
      </c>
      <c r="AB42" s="15">
        <v>0</v>
      </c>
      <c r="AC42" s="15">
        <v>0</v>
      </c>
      <c r="AD42" s="15">
        <v>0</v>
      </c>
      <c r="AE42" s="15">
        <v>0</v>
      </c>
      <c r="AF42" s="15">
        <v>0</v>
      </c>
      <c r="AG42" s="15">
        <v>0</v>
      </c>
      <c r="AH42" s="15">
        <v>0</v>
      </c>
      <c r="AI42" s="15">
        <v>0</v>
      </c>
      <c r="AJ42" s="15">
        <v>0</v>
      </c>
      <c r="AK42" s="15">
        <v>0</v>
      </c>
      <c r="AL42" s="15">
        <v>0</v>
      </c>
      <c r="AM42" s="15">
        <v>0</v>
      </c>
      <c r="AN42" s="15">
        <v>0</v>
      </c>
      <c r="AO42" s="15">
        <v>0</v>
      </c>
      <c r="AP42" s="15">
        <v>0</v>
      </c>
      <c r="AQ42" s="15">
        <v>0</v>
      </c>
      <c r="AR42" s="15">
        <v>0</v>
      </c>
      <c r="AS42" s="15">
        <v>0</v>
      </c>
      <c r="AT42" s="15">
        <v>0</v>
      </c>
      <c r="AU42" s="15">
        <v>0</v>
      </c>
      <c r="AV42" s="15">
        <v>0</v>
      </c>
    </row>
    <row r="43" spans="1:48" ht="13.15" customHeight="1" x14ac:dyDescent="0.2">
      <c r="A43" s="40" t="s">
        <v>48</v>
      </c>
      <c r="B43" s="19"/>
      <c r="C43" s="19"/>
      <c r="D43" s="19"/>
      <c r="E43" s="19"/>
      <c r="F43" s="19">
        <v>0</v>
      </c>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row>
    <row r="44" spans="1:48" ht="13.15" customHeight="1" x14ac:dyDescent="0.2">
      <c r="A44" s="39" t="s">
        <v>49</v>
      </c>
      <c r="B44" s="31">
        <v>1300</v>
      </c>
      <c r="C44" s="31">
        <v>1300</v>
      </c>
      <c r="D44" s="31">
        <v>1753.81</v>
      </c>
      <c r="E44" s="31">
        <v>1300</v>
      </c>
      <c r="F44" s="31">
        <v>1800</v>
      </c>
      <c r="G44" s="31">
        <v>1800</v>
      </c>
      <c r="H44" s="31">
        <v>1800</v>
      </c>
      <c r="I44" s="31">
        <v>1800</v>
      </c>
      <c r="J44" s="31">
        <v>1800</v>
      </c>
      <c r="K44" s="31">
        <v>1800</v>
      </c>
      <c r="L44" s="31">
        <v>1800</v>
      </c>
      <c r="M44" s="31">
        <v>1800</v>
      </c>
      <c r="N44" s="31">
        <v>1800</v>
      </c>
      <c r="O44" s="31">
        <v>1800</v>
      </c>
      <c r="P44" s="31">
        <v>1800</v>
      </c>
      <c r="Q44" s="31">
        <v>1800</v>
      </c>
      <c r="R44" s="31">
        <v>1800</v>
      </c>
      <c r="S44" s="31">
        <v>1800</v>
      </c>
      <c r="T44" s="31">
        <v>1800</v>
      </c>
      <c r="U44" s="31">
        <v>1800</v>
      </c>
      <c r="V44" s="31">
        <v>1800</v>
      </c>
      <c r="W44" s="31">
        <v>1800</v>
      </c>
      <c r="X44" s="31">
        <v>1800</v>
      </c>
      <c r="Y44" s="31">
        <v>1800</v>
      </c>
      <c r="Z44" s="31">
        <v>1800</v>
      </c>
      <c r="AA44" s="31">
        <v>1800</v>
      </c>
      <c r="AB44" s="31">
        <v>1800</v>
      </c>
      <c r="AC44" s="31">
        <v>1800</v>
      </c>
      <c r="AD44" s="31">
        <v>1800</v>
      </c>
      <c r="AE44" s="31">
        <v>1800</v>
      </c>
      <c r="AF44" s="31">
        <v>1800</v>
      </c>
      <c r="AG44" s="31">
        <v>1800</v>
      </c>
      <c r="AH44" s="31">
        <v>1800</v>
      </c>
      <c r="AI44" s="31">
        <v>1800</v>
      </c>
      <c r="AJ44" s="31">
        <v>1800</v>
      </c>
      <c r="AK44" s="31">
        <v>1800</v>
      </c>
      <c r="AL44" s="31">
        <v>1800</v>
      </c>
      <c r="AM44" s="31">
        <v>1800</v>
      </c>
      <c r="AN44" s="31">
        <v>1800</v>
      </c>
      <c r="AO44" s="31">
        <v>1800</v>
      </c>
      <c r="AP44" s="31">
        <v>1800</v>
      </c>
      <c r="AQ44" s="31">
        <v>1800</v>
      </c>
      <c r="AR44" s="31">
        <v>1800</v>
      </c>
      <c r="AS44" s="31">
        <v>1800</v>
      </c>
      <c r="AT44" s="31">
        <v>1800</v>
      </c>
      <c r="AU44" s="31">
        <v>1800</v>
      </c>
      <c r="AV44" s="31">
        <v>1800</v>
      </c>
    </row>
    <row r="45" spans="1:48" ht="13.15" customHeight="1" x14ac:dyDescent="0.2">
      <c r="A45" s="49"/>
      <c r="B45" s="31"/>
      <c r="C45" s="31"/>
      <c r="D45" s="31"/>
      <c r="E45" s="15"/>
      <c r="F45" s="16"/>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row>
    <row r="46" spans="1:48" ht="13.15" customHeight="1" x14ac:dyDescent="0.2">
      <c r="A46" s="21" t="s">
        <v>60</v>
      </c>
      <c r="B46" s="46">
        <f t="shared" ref="B46:AV46" si="11">SUM(B27:B45)</f>
        <v>3121589</v>
      </c>
      <c r="C46" s="46">
        <f t="shared" si="11"/>
        <v>2699663</v>
      </c>
      <c r="D46" s="46">
        <f t="shared" si="11"/>
        <v>2753486.5799999996</v>
      </c>
      <c r="E46" s="46">
        <f t="shared" si="11"/>
        <v>2862035</v>
      </c>
      <c r="F46" s="46">
        <f t="shared" si="11"/>
        <v>2924618</v>
      </c>
      <c r="G46" s="46">
        <f t="shared" si="11"/>
        <v>3029568</v>
      </c>
      <c r="H46" s="46">
        <f t="shared" si="11"/>
        <v>3139765.5</v>
      </c>
      <c r="I46" s="46">
        <f t="shared" si="11"/>
        <v>3255472.875</v>
      </c>
      <c r="J46" s="46">
        <f t="shared" si="11"/>
        <v>3376965.6187500004</v>
      </c>
      <c r="K46" s="46">
        <f t="shared" si="11"/>
        <v>3504532.9996875003</v>
      </c>
      <c r="L46" s="46">
        <f t="shared" si="11"/>
        <v>3638478.7496718755</v>
      </c>
      <c r="M46" s="46">
        <f t="shared" si="11"/>
        <v>3774959.0671554692</v>
      </c>
      <c r="N46" s="46">
        <f t="shared" si="11"/>
        <v>3918471.9765132433</v>
      </c>
      <c r="O46" s="46">
        <f t="shared" si="11"/>
        <v>4073530.9253389058</v>
      </c>
      <c r="P46" s="46">
        <f t="shared" si="11"/>
        <v>4236342.8216058509</v>
      </c>
      <c r="Q46" s="46">
        <f t="shared" si="11"/>
        <v>4407295.3126861434</v>
      </c>
      <c r="R46" s="46">
        <f t="shared" si="11"/>
        <v>4586795.4283204507</v>
      </c>
      <c r="S46" s="46">
        <f t="shared" si="11"/>
        <v>4775270.5497364728</v>
      </c>
      <c r="T46" s="46">
        <f t="shared" si="11"/>
        <v>4499676.4272232968</v>
      </c>
      <c r="U46" s="46">
        <f t="shared" si="11"/>
        <v>4707470.2485844614</v>
      </c>
      <c r="V46" s="46">
        <f t="shared" si="11"/>
        <v>4925653.7610136857</v>
      </c>
      <c r="W46" s="46">
        <f t="shared" si="11"/>
        <v>5154746.4490643702</v>
      </c>
      <c r="X46" s="46">
        <f t="shared" si="11"/>
        <v>5395293.7715175878</v>
      </c>
      <c r="Y46" s="46">
        <f t="shared" si="11"/>
        <v>5647868.4600934684</v>
      </c>
      <c r="Z46" s="46">
        <f t="shared" si="11"/>
        <v>5913071.8830981422</v>
      </c>
      <c r="AA46" s="46">
        <f t="shared" si="11"/>
        <v>6191535.4772530487</v>
      </c>
      <c r="AB46" s="46">
        <f t="shared" si="11"/>
        <v>6483922.251115703</v>
      </c>
      <c r="AC46" s="46">
        <f t="shared" si="11"/>
        <v>6790928.3636714863</v>
      </c>
      <c r="AD46" s="46">
        <f t="shared" si="11"/>
        <v>7113284.7818550617</v>
      </c>
      <c r="AE46" s="46">
        <f t="shared" si="11"/>
        <v>7451759.0209478159</v>
      </c>
      <c r="AF46" s="46">
        <f t="shared" si="11"/>
        <v>7807156.9719952056</v>
      </c>
      <c r="AG46" s="46">
        <f t="shared" si="11"/>
        <v>8180324.8205949664</v>
      </c>
      <c r="AH46" s="46">
        <f t="shared" si="11"/>
        <v>8572151.061624717</v>
      </c>
      <c r="AI46" s="46">
        <f t="shared" si="11"/>
        <v>8983568.6147059519</v>
      </c>
      <c r="AJ46" s="46">
        <f t="shared" si="11"/>
        <v>9415557.0454412475</v>
      </c>
      <c r="AK46" s="46">
        <f t="shared" si="11"/>
        <v>9869144.897713311</v>
      </c>
      <c r="AL46" s="46">
        <f t="shared" si="11"/>
        <v>10345412.142598977</v>
      </c>
      <c r="AM46" s="46">
        <f t="shared" si="11"/>
        <v>10845492.749728927</v>
      </c>
      <c r="AN46" s="46">
        <f t="shared" si="11"/>
        <v>11370577.387215376</v>
      </c>
      <c r="AO46" s="46">
        <f t="shared" si="11"/>
        <v>11921916.256576143</v>
      </c>
      <c r="AP46" s="46">
        <f t="shared" si="11"/>
        <v>12500822.06940495</v>
      </c>
      <c r="AQ46" s="46">
        <f t="shared" si="11"/>
        <v>13108673.172875199</v>
      </c>
      <c r="AR46" s="46">
        <f t="shared" si="11"/>
        <v>13746916.831518959</v>
      </c>
      <c r="AS46" s="46">
        <f t="shared" si="11"/>
        <v>14417072.673094906</v>
      </c>
      <c r="AT46" s="46">
        <f t="shared" si="11"/>
        <v>15120736.306749653</v>
      </c>
      <c r="AU46" s="46">
        <f t="shared" si="11"/>
        <v>15859583.122087138</v>
      </c>
      <c r="AV46" s="46">
        <f t="shared" si="11"/>
        <v>16635372.278191494</v>
      </c>
    </row>
    <row r="47" spans="1:48" ht="13.15" customHeight="1" x14ac:dyDescent="0.2">
      <c r="A47" s="22"/>
      <c r="B47" s="20"/>
      <c r="C47" s="20"/>
      <c r="D47" s="20"/>
      <c r="E47" s="20"/>
      <c r="F47" s="20"/>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row>
    <row r="48" spans="1:48" ht="13.15" customHeight="1" x14ac:dyDescent="0.2">
      <c r="A48" s="22" t="s">
        <v>58</v>
      </c>
      <c r="B48" s="55">
        <f t="shared" ref="B48:AV48" si="12">+B23-B46</f>
        <v>-503339</v>
      </c>
      <c r="C48" s="55">
        <f t="shared" si="12"/>
        <v>1587</v>
      </c>
      <c r="D48" s="55">
        <f t="shared" si="12"/>
        <v>108763.42000000039</v>
      </c>
      <c r="E48" s="55">
        <f t="shared" si="12"/>
        <v>-22785</v>
      </c>
      <c r="F48" s="55">
        <f t="shared" si="12"/>
        <v>-36368</v>
      </c>
      <c r="G48" s="55">
        <f t="shared" si="12"/>
        <v>436682</v>
      </c>
      <c r="H48" s="55">
        <f t="shared" si="12"/>
        <v>326484.5</v>
      </c>
      <c r="I48" s="55">
        <f t="shared" si="12"/>
        <v>226777.125</v>
      </c>
      <c r="J48" s="55">
        <f t="shared" si="12"/>
        <v>105284.38124999963</v>
      </c>
      <c r="K48" s="55">
        <f t="shared" si="12"/>
        <v>-6282.999687500298</v>
      </c>
      <c r="L48" s="55">
        <f t="shared" si="12"/>
        <v>-140228.7496718755</v>
      </c>
      <c r="M48" s="55">
        <f t="shared" si="12"/>
        <v>28290.932844531257</v>
      </c>
      <c r="N48" s="55">
        <f t="shared" si="12"/>
        <v>-115221.97651324281</v>
      </c>
      <c r="O48" s="55">
        <f t="shared" si="12"/>
        <v>65219.074661095161</v>
      </c>
      <c r="P48" s="55">
        <f t="shared" si="12"/>
        <v>271457.17839415092</v>
      </c>
      <c r="Q48" s="55">
        <f t="shared" si="12"/>
        <v>100504.68731385842</v>
      </c>
      <c r="R48" s="55">
        <f t="shared" si="12"/>
        <v>-78995.428320448846</v>
      </c>
      <c r="S48" s="55">
        <f t="shared" si="12"/>
        <v>-267470.54973647092</v>
      </c>
      <c r="T48" s="55">
        <f t="shared" si="12"/>
        <v>414078.57277670503</v>
      </c>
      <c r="U48" s="55">
        <f t="shared" si="12"/>
        <v>206284.75141554046</v>
      </c>
      <c r="V48" s="55">
        <f t="shared" si="12"/>
        <v>-11898.761013683863</v>
      </c>
      <c r="W48" s="55">
        <f t="shared" si="12"/>
        <v>205559.05093563255</v>
      </c>
      <c r="X48" s="55">
        <f t="shared" si="12"/>
        <v>-34988.271517585032</v>
      </c>
      <c r="Y48" s="55">
        <f t="shared" si="12"/>
        <v>-287562.96009346563</v>
      </c>
      <c r="Z48" s="55">
        <f t="shared" si="12"/>
        <v>-61560.833098138683</v>
      </c>
      <c r="AA48" s="55">
        <f t="shared" si="12"/>
        <v>200301.67774695531</v>
      </c>
      <c r="AB48" s="55">
        <f t="shared" si="12"/>
        <v>502273.61938430183</v>
      </c>
      <c r="AC48" s="55">
        <f t="shared" si="12"/>
        <v>195267.50682851858</v>
      </c>
      <c r="AD48" s="55">
        <f t="shared" si="12"/>
        <v>-127088.9113550568</v>
      </c>
      <c r="AE48" s="55">
        <f t="shared" si="12"/>
        <v>188231.43660219014</v>
      </c>
      <c r="AF48" s="55">
        <f t="shared" si="12"/>
        <v>-167166.51444519963</v>
      </c>
      <c r="AG48" s="55">
        <f t="shared" si="12"/>
        <v>-540334.36304496042</v>
      </c>
      <c r="AH48" s="55">
        <f t="shared" si="12"/>
        <v>-932160.60407471098</v>
      </c>
      <c r="AI48" s="55">
        <f t="shared" si="12"/>
        <v>-1343578.1571559459</v>
      </c>
      <c r="AJ48" s="55">
        <f t="shared" si="12"/>
        <v>-1775566.5878912415</v>
      </c>
      <c r="AK48" s="55">
        <f t="shared" si="12"/>
        <v>-2229154.440163305</v>
      </c>
      <c r="AL48" s="55">
        <f t="shared" si="12"/>
        <v>-2705421.6850489713</v>
      </c>
      <c r="AM48" s="55">
        <f t="shared" si="12"/>
        <v>-3205502.2921789214</v>
      </c>
      <c r="AN48" s="55">
        <f t="shared" si="12"/>
        <v>-3730586.9296653699</v>
      </c>
      <c r="AO48" s="55">
        <f t="shared" si="12"/>
        <v>-4281925.7990261372</v>
      </c>
      <c r="AP48" s="55">
        <f t="shared" si="12"/>
        <v>-4860831.6118549444</v>
      </c>
      <c r="AQ48" s="55">
        <f t="shared" si="12"/>
        <v>-5468682.7153251935</v>
      </c>
      <c r="AR48" s="55">
        <f t="shared" si="12"/>
        <v>-6106926.3739689533</v>
      </c>
      <c r="AS48" s="55">
        <f t="shared" si="12"/>
        <v>-6777082.2155448999</v>
      </c>
      <c r="AT48" s="55">
        <f t="shared" si="12"/>
        <v>-7480745.8491996471</v>
      </c>
      <c r="AU48" s="55">
        <f t="shared" si="12"/>
        <v>-8219592.6645371318</v>
      </c>
      <c r="AV48" s="55">
        <f t="shared" si="12"/>
        <v>-8995381.8206414878</v>
      </c>
    </row>
    <row r="49" spans="1:48" ht="13.15" customHeight="1" x14ac:dyDescent="0.2">
      <c r="A49" s="22" t="s">
        <v>61</v>
      </c>
      <c r="B49" s="55">
        <v>687253.87</v>
      </c>
      <c r="C49" s="56">
        <f t="shared" ref="C49:AV49" si="13">+B56</f>
        <v>183914.87</v>
      </c>
      <c r="D49" s="56">
        <f t="shared" si="13"/>
        <v>185501.87</v>
      </c>
      <c r="E49" s="56">
        <f t="shared" si="13"/>
        <v>294265.29000000039</v>
      </c>
      <c r="F49" s="56">
        <f t="shared" si="13"/>
        <v>271480.29000000039</v>
      </c>
      <c r="G49" s="56">
        <f t="shared" si="13"/>
        <v>235112.29000000039</v>
      </c>
      <c r="H49" s="56">
        <f t="shared" si="13"/>
        <v>671794.29000000039</v>
      </c>
      <c r="I49" s="56">
        <f t="shared" si="13"/>
        <v>998278.79000000039</v>
      </c>
      <c r="J49" s="56">
        <f t="shared" si="13"/>
        <v>1225055.9150000005</v>
      </c>
      <c r="K49" s="56">
        <f t="shared" si="13"/>
        <v>1330340.2962500001</v>
      </c>
      <c r="L49" s="56">
        <f t="shared" si="13"/>
        <v>1324057.2965624998</v>
      </c>
      <c r="M49" s="56">
        <f t="shared" si="13"/>
        <v>1183828.5468906243</v>
      </c>
      <c r="N49" s="56">
        <f t="shared" si="13"/>
        <v>1212119.4797351556</v>
      </c>
      <c r="O49" s="56">
        <f t="shared" si="13"/>
        <v>1096897.5032219128</v>
      </c>
      <c r="P49" s="56">
        <f t="shared" si="13"/>
        <v>1162116.5778830079</v>
      </c>
      <c r="Q49" s="56">
        <f t="shared" si="13"/>
        <v>1433573.7562771589</v>
      </c>
      <c r="R49" s="56">
        <f t="shared" si="13"/>
        <v>1534078.4435910173</v>
      </c>
      <c r="S49" s="56">
        <f t="shared" si="13"/>
        <v>1455083.0152705684</v>
      </c>
      <c r="T49" s="56">
        <f t="shared" si="13"/>
        <v>1187612.4655340975</v>
      </c>
      <c r="U49" s="56">
        <f t="shared" si="13"/>
        <v>1601691.0383108025</v>
      </c>
      <c r="V49" s="56">
        <f t="shared" si="13"/>
        <v>1807975.789726343</v>
      </c>
      <c r="W49" s="56">
        <f t="shared" si="13"/>
        <v>1796077.0287126591</v>
      </c>
      <c r="X49" s="56">
        <f t="shared" si="13"/>
        <v>2001636.0796482917</v>
      </c>
      <c r="Y49" s="56">
        <f t="shared" si="13"/>
        <v>1966647.8081307067</v>
      </c>
      <c r="Z49" s="56">
        <f t="shared" si="13"/>
        <v>1679084.848037241</v>
      </c>
      <c r="AA49" s="56">
        <f t="shared" si="13"/>
        <v>1617524.0149391023</v>
      </c>
      <c r="AB49" s="56">
        <f t="shared" si="13"/>
        <v>1817825.6926860576</v>
      </c>
      <c r="AC49" s="56">
        <f t="shared" si="13"/>
        <v>2320099.3120703595</v>
      </c>
      <c r="AD49" s="56">
        <f t="shared" si="13"/>
        <v>2515366.8188988781</v>
      </c>
      <c r="AE49" s="56">
        <f t="shared" si="13"/>
        <v>2388277.9075438213</v>
      </c>
      <c r="AF49" s="56">
        <f t="shared" si="13"/>
        <v>2576509.3441460114</v>
      </c>
      <c r="AG49" s="56">
        <f t="shared" si="13"/>
        <v>2409342.8297008118</v>
      </c>
      <c r="AH49" s="56">
        <f t="shared" si="13"/>
        <v>1869008.4666558513</v>
      </c>
      <c r="AI49" s="56">
        <f t="shared" si="13"/>
        <v>936847.86258114036</v>
      </c>
      <c r="AJ49" s="56">
        <f t="shared" si="13"/>
        <v>-406730.29457480554</v>
      </c>
      <c r="AK49" s="56">
        <f t="shared" si="13"/>
        <v>-2182296.8824660471</v>
      </c>
      <c r="AL49" s="56">
        <f t="shared" si="13"/>
        <v>-4411451.3226293521</v>
      </c>
      <c r="AM49" s="56">
        <f t="shared" si="13"/>
        <v>-7116873.0076783234</v>
      </c>
      <c r="AN49" s="56">
        <f t="shared" si="13"/>
        <v>-10322375.299857244</v>
      </c>
      <c r="AO49" s="56">
        <f t="shared" si="13"/>
        <v>-14052962.229522614</v>
      </c>
      <c r="AP49" s="56">
        <f t="shared" si="13"/>
        <v>-18334888.028548751</v>
      </c>
      <c r="AQ49" s="56">
        <f t="shared" si="13"/>
        <v>-23195719.640403695</v>
      </c>
      <c r="AR49" s="56">
        <f t="shared" si="13"/>
        <v>-28664402.355728887</v>
      </c>
      <c r="AS49" s="56">
        <f t="shared" si="13"/>
        <v>-34771328.729697838</v>
      </c>
      <c r="AT49" s="56">
        <f t="shared" si="13"/>
        <v>-41548410.94524274</v>
      </c>
      <c r="AU49" s="56">
        <f t="shared" si="13"/>
        <v>-49029156.794442385</v>
      </c>
      <c r="AV49" s="56">
        <f t="shared" si="13"/>
        <v>-57248749.458979517</v>
      </c>
    </row>
    <row r="50" spans="1:48" ht="13.15" customHeight="1" x14ac:dyDescent="0.2">
      <c r="A50" s="22" t="s">
        <v>62</v>
      </c>
      <c r="B50" s="31">
        <f t="shared" ref="B50:AV50" si="14">SUM(B48:B49)</f>
        <v>183914.87</v>
      </c>
      <c r="C50" s="31">
        <f t="shared" si="14"/>
        <v>185501.87</v>
      </c>
      <c r="D50" s="31">
        <f t="shared" si="14"/>
        <v>294265.29000000039</v>
      </c>
      <c r="E50" s="31">
        <f t="shared" si="14"/>
        <v>271480.29000000039</v>
      </c>
      <c r="F50" s="31">
        <f t="shared" si="14"/>
        <v>235112.29000000039</v>
      </c>
      <c r="G50" s="31">
        <f t="shared" si="14"/>
        <v>671794.29000000039</v>
      </c>
      <c r="H50" s="80">
        <f t="shared" si="14"/>
        <v>998278.79000000039</v>
      </c>
      <c r="I50" s="31">
        <f t="shared" si="14"/>
        <v>1225055.9150000005</v>
      </c>
      <c r="J50" s="31">
        <f t="shared" si="14"/>
        <v>1330340.2962500001</v>
      </c>
      <c r="K50" s="31">
        <f t="shared" si="14"/>
        <v>1324057.2965624998</v>
      </c>
      <c r="L50" s="31">
        <f t="shared" si="14"/>
        <v>1183828.5468906243</v>
      </c>
      <c r="M50" s="31">
        <f t="shared" si="14"/>
        <v>1212119.4797351556</v>
      </c>
      <c r="N50" s="31">
        <f t="shared" si="14"/>
        <v>1096897.5032219128</v>
      </c>
      <c r="O50" s="31">
        <f t="shared" si="14"/>
        <v>1162116.5778830079</v>
      </c>
      <c r="P50" s="31">
        <f t="shared" si="14"/>
        <v>1433573.7562771589</v>
      </c>
      <c r="Q50" s="31">
        <f t="shared" si="14"/>
        <v>1534078.4435910173</v>
      </c>
      <c r="R50" s="31">
        <f t="shared" si="14"/>
        <v>1455083.0152705684</v>
      </c>
      <c r="S50" s="31">
        <f t="shared" si="14"/>
        <v>1187612.4655340975</v>
      </c>
      <c r="T50" s="31">
        <f t="shared" si="14"/>
        <v>1601691.0383108025</v>
      </c>
      <c r="U50" s="31">
        <f t="shared" si="14"/>
        <v>1807975.789726343</v>
      </c>
      <c r="V50" s="31">
        <f t="shared" si="14"/>
        <v>1796077.0287126591</v>
      </c>
      <c r="W50" s="31">
        <f t="shared" si="14"/>
        <v>2001636.0796482917</v>
      </c>
      <c r="X50" s="31">
        <f t="shared" si="14"/>
        <v>1966647.8081307067</v>
      </c>
      <c r="Y50" s="31">
        <f t="shared" si="14"/>
        <v>1679084.848037241</v>
      </c>
      <c r="Z50" s="31">
        <f t="shared" si="14"/>
        <v>1617524.0149391023</v>
      </c>
      <c r="AA50" s="31">
        <f t="shared" si="14"/>
        <v>1817825.6926860576</v>
      </c>
      <c r="AB50" s="31">
        <f t="shared" si="14"/>
        <v>2320099.3120703595</v>
      </c>
      <c r="AC50" s="31">
        <f t="shared" si="14"/>
        <v>2515366.8188988781</v>
      </c>
      <c r="AD50" s="31">
        <f t="shared" si="14"/>
        <v>2388277.9075438213</v>
      </c>
      <c r="AE50" s="31">
        <f t="shared" si="14"/>
        <v>2576509.3441460114</v>
      </c>
      <c r="AF50" s="31">
        <f t="shared" si="14"/>
        <v>2409342.8297008118</v>
      </c>
      <c r="AG50" s="31">
        <f t="shared" si="14"/>
        <v>1869008.4666558513</v>
      </c>
      <c r="AH50" s="31">
        <f t="shared" si="14"/>
        <v>936847.86258114036</v>
      </c>
      <c r="AI50" s="31">
        <f t="shared" si="14"/>
        <v>-406730.29457480554</v>
      </c>
      <c r="AJ50" s="31">
        <f t="shared" si="14"/>
        <v>-2182296.8824660471</v>
      </c>
      <c r="AK50" s="31">
        <f t="shared" si="14"/>
        <v>-4411451.3226293521</v>
      </c>
      <c r="AL50" s="31">
        <f t="shared" si="14"/>
        <v>-7116873.0076783234</v>
      </c>
      <c r="AM50" s="31">
        <f t="shared" si="14"/>
        <v>-10322375.299857244</v>
      </c>
      <c r="AN50" s="31">
        <f t="shared" si="14"/>
        <v>-14052962.229522614</v>
      </c>
      <c r="AO50" s="31">
        <f t="shared" si="14"/>
        <v>-18334888.028548751</v>
      </c>
      <c r="AP50" s="31">
        <f t="shared" si="14"/>
        <v>-23195719.640403695</v>
      </c>
      <c r="AQ50" s="31">
        <f t="shared" si="14"/>
        <v>-28664402.355728887</v>
      </c>
      <c r="AR50" s="31">
        <f t="shared" si="14"/>
        <v>-34771328.729697838</v>
      </c>
      <c r="AS50" s="31">
        <f t="shared" si="14"/>
        <v>-41548410.94524274</v>
      </c>
      <c r="AT50" s="31">
        <f t="shared" si="14"/>
        <v>-49029156.794442385</v>
      </c>
      <c r="AU50" s="31">
        <f t="shared" si="14"/>
        <v>-57248749.458979517</v>
      </c>
      <c r="AV50" s="31">
        <f t="shared" si="14"/>
        <v>-66244131.279621005</v>
      </c>
    </row>
    <row r="51" spans="1:48" ht="25.9" customHeight="1" x14ac:dyDescent="0.2">
      <c r="A51" s="22" t="s">
        <v>64</v>
      </c>
      <c r="B51" s="77">
        <f>+B62</f>
        <v>424942.75</v>
      </c>
      <c r="C51" s="77">
        <f>+C62</f>
        <v>455971.89</v>
      </c>
      <c r="D51" s="77">
        <f>+D62</f>
        <v>384716.68</v>
      </c>
      <c r="E51" s="77">
        <f>+E62</f>
        <v>454692.15</v>
      </c>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row>
    <row r="52" spans="1:48" ht="37.35" customHeight="1" x14ac:dyDescent="0.2">
      <c r="A52" s="69" t="s">
        <v>92</v>
      </c>
      <c r="B52" s="20"/>
      <c r="C52" s="19"/>
      <c r="D52" s="19"/>
      <c r="E52" s="19"/>
      <c r="F52" s="19"/>
      <c r="G52" s="19"/>
      <c r="H52" s="19"/>
      <c r="I52" s="79">
        <f t="shared" ref="I52:AG52" si="15">+$B$77+(I46/4)</f>
        <v>813868.21875</v>
      </c>
      <c r="J52" s="19">
        <f t="shared" si="15"/>
        <v>844241.40468750009</v>
      </c>
      <c r="K52" s="19">
        <f t="shared" si="15"/>
        <v>876133.24992187507</v>
      </c>
      <c r="L52" s="19">
        <f t="shared" si="15"/>
        <v>909619.68741796887</v>
      </c>
      <c r="M52" s="19">
        <f t="shared" si="15"/>
        <v>943739.7667888673</v>
      </c>
      <c r="N52" s="19">
        <f t="shared" si="15"/>
        <v>979617.99412831082</v>
      </c>
      <c r="O52" s="19">
        <f t="shared" si="15"/>
        <v>1018382.7313347264</v>
      </c>
      <c r="P52" s="19">
        <f t="shared" si="15"/>
        <v>1059085.7054014627</v>
      </c>
      <c r="Q52" s="19">
        <f t="shared" si="15"/>
        <v>1101823.8281715359</v>
      </c>
      <c r="R52" s="19">
        <f t="shared" si="15"/>
        <v>1146698.8570801127</v>
      </c>
      <c r="S52" s="19">
        <f t="shared" si="15"/>
        <v>1193817.6374341182</v>
      </c>
      <c r="T52" s="19">
        <f t="shared" si="15"/>
        <v>1124919.1068058242</v>
      </c>
      <c r="U52" s="19">
        <f t="shared" si="15"/>
        <v>1176867.5621461153</v>
      </c>
      <c r="V52" s="19">
        <f t="shared" si="15"/>
        <v>1231413.4402534214</v>
      </c>
      <c r="W52" s="19">
        <f t="shared" si="15"/>
        <v>1288686.6122660926</v>
      </c>
      <c r="X52" s="19">
        <f t="shared" si="15"/>
        <v>1348823.442879397</v>
      </c>
      <c r="Y52" s="19">
        <f t="shared" si="15"/>
        <v>1411967.1150233671</v>
      </c>
      <c r="Z52" s="19">
        <f t="shared" si="15"/>
        <v>1478267.9707745356</v>
      </c>
      <c r="AA52" s="19">
        <f t="shared" si="15"/>
        <v>1547883.8693132622</v>
      </c>
      <c r="AB52" s="19">
        <f t="shared" si="15"/>
        <v>1620980.5627789258</v>
      </c>
      <c r="AC52" s="19">
        <f t="shared" si="15"/>
        <v>1697732.0909178716</v>
      </c>
      <c r="AD52" s="19">
        <f t="shared" si="15"/>
        <v>1778321.1954637654</v>
      </c>
      <c r="AE52" s="19">
        <f t="shared" si="15"/>
        <v>1862939.755236954</v>
      </c>
      <c r="AF52" s="19">
        <f t="shared" si="15"/>
        <v>1951789.2429988014</v>
      </c>
      <c r="AG52" s="19">
        <f t="shared" si="15"/>
        <v>2045081.2051487416</v>
      </c>
      <c r="AH52" s="19"/>
      <c r="AI52" s="19"/>
      <c r="AJ52" s="19"/>
      <c r="AK52" s="19"/>
      <c r="AL52" s="19"/>
      <c r="AM52" s="19"/>
      <c r="AN52" s="19"/>
      <c r="AO52" s="19"/>
      <c r="AP52" s="19"/>
      <c r="AQ52" s="19"/>
      <c r="AR52" s="19"/>
      <c r="AS52" s="19"/>
      <c r="AT52" s="19"/>
      <c r="AU52" s="19"/>
      <c r="AV52" s="19"/>
    </row>
    <row r="53" spans="1:48" ht="13.15" customHeight="1" x14ac:dyDescent="0.2">
      <c r="A53" s="40" t="s">
        <v>53</v>
      </c>
      <c r="B53" s="27"/>
      <c r="C53" s="27"/>
      <c r="D53" s="27"/>
      <c r="E53" s="15"/>
      <c r="F53" s="16"/>
      <c r="G53" s="15">
        <f>+B72</f>
        <v>0</v>
      </c>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row>
    <row r="54" spans="1:48" ht="13.15" customHeight="1" x14ac:dyDescent="0.2">
      <c r="A54" s="50" t="s">
        <v>56</v>
      </c>
      <c r="B54" s="27"/>
      <c r="C54" s="27"/>
      <c r="D54" s="27"/>
      <c r="E54" s="15"/>
      <c r="F54" s="16"/>
      <c r="H54" s="15"/>
      <c r="I54" s="15">
        <f t="shared" ref="I54:AG54" si="16">+$B$76</f>
        <v>0</v>
      </c>
      <c r="J54" s="15">
        <f t="shared" si="16"/>
        <v>0</v>
      </c>
      <c r="K54" s="15">
        <f t="shared" si="16"/>
        <v>0</v>
      </c>
      <c r="L54" s="15">
        <f t="shared" si="16"/>
        <v>0</v>
      </c>
      <c r="M54" s="15">
        <f t="shared" si="16"/>
        <v>0</v>
      </c>
      <c r="N54" s="15">
        <f t="shared" si="16"/>
        <v>0</v>
      </c>
      <c r="O54" s="15">
        <f t="shared" si="16"/>
        <v>0</v>
      </c>
      <c r="P54" s="15">
        <f t="shared" si="16"/>
        <v>0</v>
      </c>
      <c r="Q54" s="15">
        <f t="shared" si="16"/>
        <v>0</v>
      </c>
      <c r="R54" s="15">
        <f t="shared" si="16"/>
        <v>0</v>
      </c>
      <c r="S54" s="15">
        <f t="shared" si="16"/>
        <v>0</v>
      </c>
      <c r="T54" s="15">
        <f t="shared" si="16"/>
        <v>0</v>
      </c>
      <c r="U54" s="15">
        <f t="shared" si="16"/>
        <v>0</v>
      </c>
      <c r="V54" s="15">
        <f t="shared" si="16"/>
        <v>0</v>
      </c>
      <c r="W54" s="15">
        <f t="shared" si="16"/>
        <v>0</v>
      </c>
      <c r="X54" s="15">
        <f t="shared" si="16"/>
        <v>0</v>
      </c>
      <c r="Y54" s="15">
        <f t="shared" si="16"/>
        <v>0</v>
      </c>
      <c r="Z54" s="15">
        <f t="shared" si="16"/>
        <v>0</v>
      </c>
      <c r="AA54" s="15">
        <f t="shared" si="16"/>
        <v>0</v>
      </c>
      <c r="AB54" s="15">
        <f t="shared" si="16"/>
        <v>0</v>
      </c>
      <c r="AC54" s="15">
        <f t="shared" si="16"/>
        <v>0</v>
      </c>
      <c r="AD54" s="15">
        <f t="shared" si="16"/>
        <v>0</v>
      </c>
      <c r="AE54" s="15">
        <f t="shared" si="16"/>
        <v>0</v>
      </c>
      <c r="AF54" s="15">
        <f t="shared" si="16"/>
        <v>0</v>
      </c>
      <c r="AG54" s="15">
        <f t="shared" si="16"/>
        <v>0</v>
      </c>
      <c r="AH54" s="15"/>
      <c r="AI54" s="15"/>
      <c r="AJ54" s="15"/>
      <c r="AK54" s="15"/>
      <c r="AL54" s="15"/>
      <c r="AM54" s="15"/>
      <c r="AN54" s="15"/>
      <c r="AO54" s="15"/>
      <c r="AP54" s="15"/>
      <c r="AQ54" s="15"/>
      <c r="AR54" s="15"/>
      <c r="AS54" s="15"/>
      <c r="AT54" s="15"/>
      <c r="AU54" s="15"/>
      <c r="AV54" s="15"/>
    </row>
    <row r="55" spans="1:48" ht="13.15" customHeight="1" x14ac:dyDescent="0.2">
      <c r="A55" s="61"/>
      <c r="B55" s="33"/>
      <c r="C55" s="33"/>
      <c r="D55" s="33"/>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row>
    <row r="56" spans="1:48" ht="25.15" customHeight="1" x14ac:dyDescent="0.2">
      <c r="A56" s="62" t="s">
        <v>74</v>
      </c>
      <c r="B56" s="78">
        <f t="shared" ref="B56:AV56" si="17">+B50-B53-B54</f>
        <v>183914.87</v>
      </c>
      <c r="C56" s="78">
        <f t="shared" si="17"/>
        <v>185501.87</v>
      </c>
      <c r="D56" s="78">
        <f t="shared" si="17"/>
        <v>294265.29000000039</v>
      </c>
      <c r="E56" s="78">
        <f t="shared" si="17"/>
        <v>271480.29000000039</v>
      </c>
      <c r="F56" s="78">
        <f t="shared" si="17"/>
        <v>235112.29000000039</v>
      </c>
      <c r="G56" s="17">
        <f t="shared" si="17"/>
        <v>671794.29000000039</v>
      </c>
      <c r="H56" s="78">
        <f t="shared" si="17"/>
        <v>998278.79000000039</v>
      </c>
      <c r="I56" s="17">
        <f t="shared" si="17"/>
        <v>1225055.9150000005</v>
      </c>
      <c r="J56" s="17">
        <f t="shared" si="17"/>
        <v>1330340.2962500001</v>
      </c>
      <c r="K56" s="17">
        <f t="shared" si="17"/>
        <v>1324057.2965624998</v>
      </c>
      <c r="L56" s="17">
        <f t="shared" si="17"/>
        <v>1183828.5468906243</v>
      </c>
      <c r="M56" s="17">
        <f t="shared" si="17"/>
        <v>1212119.4797351556</v>
      </c>
      <c r="N56" s="17">
        <f t="shared" si="17"/>
        <v>1096897.5032219128</v>
      </c>
      <c r="O56" s="17">
        <f t="shared" si="17"/>
        <v>1162116.5778830079</v>
      </c>
      <c r="P56" s="17">
        <f t="shared" si="17"/>
        <v>1433573.7562771589</v>
      </c>
      <c r="Q56" s="17">
        <f t="shared" si="17"/>
        <v>1534078.4435910173</v>
      </c>
      <c r="R56" s="17">
        <f t="shared" si="17"/>
        <v>1455083.0152705684</v>
      </c>
      <c r="S56" s="17">
        <f t="shared" si="17"/>
        <v>1187612.4655340975</v>
      </c>
      <c r="T56" s="17">
        <f t="shared" si="17"/>
        <v>1601691.0383108025</v>
      </c>
      <c r="U56" s="17">
        <f t="shared" si="17"/>
        <v>1807975.789726343</v>
      </c>
      <c r="V56" s="17">
        <f t="shared" si="17"/>
        <v>1796077.0287126591</v>
      </c>
      <c r="W56" s="17">
        <f t="shared" si="17"/>
        <v>2001636.0796482917</v>
      </c>
      <c r="X56" s="17">
        <f t="shared" si="17"/>
        <v>1966647.8081307067</v>
      </c>
      <c r="Y56" s="17">
        <f t="shared" si="17"/>
        <v>1679084.848037241</v>
      </c>
      <c r="Z56" s="17">
        <f t="shared" si="17"/>
        <v>1617524.0149391023</v>
      </c>
      <c r="AA56" s="17">
        <f t="shared" si="17"/>
        <v>1817825.6926860576</v>
      </c>
      <c r="AB56" s="17">
        <f t="shared" si="17"/>
        <v>2320099.3120703595</v>
      </c>
      <c r="AC56" s="17">
        <f t="shared" si="17"/>
        <v>2515366.8188988781</v>
      </c>
      <c r="AD56" s="17">
        <f t="shared" si="17"/>
        <v>2388277.9075438213</v>
      </c>
      <c r="AE56" s="17">
        <f t="shared" si="17"/>
        <v>2576509.3441460114</v>
      </c>
      <c r="AF56" s="17">
        <f t="shared" si="17"/>
        <v>2409342.8297008118</v>
      </c>
      <c r="AG56" s="17">
        <f t="shared" si="17"/>
        <v>1869008.4666558513</v>
      </c>
      <c r="AH56" s="17">
        <f t="shared" si="17"/>
        <v>936847.86258114036</v>
      </c>
      <c r="AI56" s="17">
        <f t="shared" si="17"/>
        <v>-406730.29457480554</v>
      </c>
      <c r="AJ56" s="17">
        <f t="shared" si="17"/>
        <v>-2182296.8824660471</v>
      </c>
      <c r="AK56" s="17">
        <f t="shared" si="17"/>
        <v>-4411451.3226293521</v>
      </c>
      <c r="AL56" s="17">
        <f t="shared" si="17"/>
        <v>-7116873.0076783234</v>
      </c>
      <c r="AM56" s="17">
        <f t="shared" si="17"/>
        <v>-10322375.299857244</v>
      </c>
      <c r="AN56" s="17">
        <f t="shared" si="17"/>
        <v>-14052962.229522614</v>
      </c>
      <c r="AO56" s="17">
        <f t="shared" si="17"/>
        <v>-18334888.028548751</v>
      </c>
      <c r="AP56" s="17">
        <f t="shared" si="17"/>
        <v>-23195719.640403695</v>
      </c>
      <c r="AQ56" s="17">
        <f t="shared" si="17"/>
        <v>-28664402.355728887</v>
      </c>
      <c r="AR56" s="17">
        <f t="shared" si="17"/>
        <v>-34771328.729697838</v>
      </c>
      <c r="AS56" s="17">
        <f t="shared" si="17"/>
        <v>-41548410.94524274</v>
      </c>
      <c r="AT56" s="17">
        <f t="shared" si="17"/>
        <v>-49029156.794442385</v>
      </c>
      <c r="AU56" s="17">
        <f t="shared" si="17"/>
        <v>-57248749.458979517</v>
      </c>
      <c r="AV56" s="17">
        <f t="shared" si="17"/>
        <v>-66244131.279621005</v>
      </c>
    </row>
    <row r="57" spans="1:48" ht="13.15" customHeight="1" x14ac:dyDescent="0.2">
      <c r="A57" s="23"/>
      <c r="B57" s="34"/>
      <c r="C57" s="34"/>
      <c r="D57" s="34"/>
      <c r="E57" s="24"/>
      <c r="F57" s="25"/>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row>
    <row r="58" spans="1:48" ht="27.2" customHeight="1" x14ac:dyDescent="0.2">
      <c r="A58" s="22" t="s">
        <v>87</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row>
    <row r="59" spans="1:48" ht="20.100000000000001" customHeight="1" x14ac:dyDescent="0.2">
      <c r="A59" s="22" t="s">
        <v>82</v>
      </c>
      <c r="B59" s="31">
        <v>687253.87</v>
      </c>
      <c r="C59" s="31">
        <v>424942.75</v>
      </c>
      <c r="D59" s="31">
        <v>455971.89</v>
      </c>
      <c r="E59" s="31">
        <v>384716.68</v>
      </c>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row>
    <row r="60" spans="1:48" ht="20.100000000000001" customHeight="1" x14ac:dyDescent="0.2">
      <c r="A60" s="22" t="s">
        <v>86</v>
      </c>
      <c r="B60" s="31">
        <v>2675160.4300000002</v>
      </c>
      <c r="C60" s="31">
        <v>2808594.44</v>
      </c>
      <c r="D60" s="31">
        <v>2682231.37</v>
      </c>
      <c r="E60" s="31">
        <v>2751756.1</v>
      </c>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row>
    <row r="61" spans="1:48" ht="20.100000000000001" customHeight="1" x14ac:dyDescent="0.2">
      <c r="A61" s="22" t="s">
        <v>83</v>
      </c>
      <c r="B61" s="31">
        <v>2937471.55</v>
      </c>
      <c r="C61" s="31">
        <v>2777565.3</v>
      </c>
      <c r="D61" s="31">
        <v>2753486.58</v>
      </c>
      <c r="E61" s="31">
        <v>2681780.63</v>
      </c>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row>
    <row r="62" spans="1:48" ht="20.100000000000001" customHeight="1" x14ac:dyDescent="0.2">
      <c r="A62" s="22" t="s">
        <v>84</v>
      </c>
      <c r="B62" s="31">
        <v>424942.75</v>
      </c>
      <c r="C62" s="31">
        <v>455971.89</v>
      </c>
      <c r="D62" s="31">
        <v>384716.68</v>
      </c>
      <c r="E62" s="31">
        <v>454692.15</v>
      </c>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row>
    <row r="63" spans="1:48" ht="28.5" customHeight="1" x14ac:dyDescent="0.2">
      <c r="A63" s="22" t="s">
        <v>116</v>
      </c>
      <c r="B63" s="31">
        <v>95040.26</v>
      </c>
      <c r="C63" s="31">
        <v>16474.689999999999</v>
      </c>
      <c r="D63" s="31">
        <v>65620.429999999993</v>
      </c>
      <c r="E63" s="31">
        <v>136774.44</v>
      </c>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row>
    <row r="64" spans="1:48" ht="20.100000000000001" customHeight="1" x14ac:dyDescent="0.2">
      <c r="A64" s="22" t="s">
        <v>85</v>
      </c>
      <c r="B64" s="31">
        <v>329902.49</v>
      </c>
      <c r="C64" s="31">
        <v>439497.2</v>
      </c>
      <c r="D64" s="31">
        <v>319096.25</v>
      </c>
      <c r="E64" s="31">
        <v>317917.71000000002</v>
      </c>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row>
    <row r="65" spans="1:48" ht="13.15" customHeight="1" x14ac:dyDescent="0.2">
      <c r="A65" s="23"/>
      <c r="B65" s="34"/>
      <c r="C65" s="34"/>
      <c r="D65" s="34"/>
      <c r="E65" s="24"/>
      <c r="F65" s="25"/>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row>
    <row r="66" spans="1:48" x14ac:dyDescent="0.2">
      <c r="A66" s="28"/>
      <c r="B66" s="85" t="s">
        <v>98</v>
      </c>
      <c r="C66" s="85" t="s">
        <v>70</v>
      </c>
      <c r="D66" s="85" t="s">
        <v>71</v>
      </c>
      <c r="E66" s="85" t="s">
        <v>72</v>
      </c>
      <c r="F66" s="81" t="s">
        <v>73</v>
      </c>
      <c r="G66" s="29"/>
      <c r="H66" s="83" t="s">
        <v>93</v>
      </c>
      <c r="I66" s="84"/>
      <c r="J66" s="29"/>
      <c r="K66" s="29"/>
      <c r="L66" s="29"/>
      <c r="M66" s="29"/>
      <c r="N66" s="29"/>
      <c r="O66" s="29"/>
      <c r="P66" s="29"/>
      <c r="Q66" s="29"/>
      <c r="R66" s="29"/>
      <c r="S66" s="29"/>
      <c r="T66" s="29"/>
      <c r="U66" s="29"/>
      <c r="V66" s="29"/>
      <c r="W66" s="29"/>
      <c r="X66" s="29"/>
      <c r="Y66" s="29"/>
      <c r="Z66" s="29"/>
    </row>
    <row r="67" spans="1:48" x14ac:dyDescent="0.2">
      <c r="A67" s="59" t="s">
        <v>65</v>
      </c>
      <c r="B67" s="35"/>
      <c r="C67" s="35"/>
      <c r="D67" s="35"/>
      <c r="E67" s="35"/>
      <c r="F67" s="29"/>
      <c r="G67" s="29"/>
      <c r="H67" s="81" t="s">
        <v>95</v>
      </c>
      <c r="I67" s="81" t="s">
        <v>94</v>
      </c>
      <c r="J67" s="29"/>
      <c r="K67" s="29"/>
      <c r="L67" s="29"/>
      <c r="M67" s="29"/>
      <c r="N67" s="29"/>
      <c r="O67" s="29"/>
      <c r="P67" s="29"/>
      <c r="Q67" s="29"/>
      <c r="R67" s="29"/>
      <c r="S67" s="29"/>
      <c r="T67" s="29"/>
      <c r="U67" s="29"/>
      <c r="V67" s="29"/>
      <c r="W67" s="29"/>
      <c r="X67" s="29"/>
      <c r="Y67" s="29"/>
      <c r="Z67" s="29"/>
    </row>
    <row r="68" spans="1:48" x14ac:dyDescent="0.2">
      <c r="A68" s="58" t="s">
        <v>75</v>
      </c>
      <c r="B68" s="63">
        <v>0</v>
      </c>
      <c r="C68" s="63">
        <v>32970000</v>
      </c>
      <c r="D68" s="63">
        <v>22700000</v>
      </c>
      <c r="E68" s="63">
        <v>18745000</v>
      </c>
      <c r="F68" s="64">
        <v>4025000</v>
      </c>
      <c r="G68" s="29"/>
      <c r="H68" s="81">
        <v>2008</v>
      </c>
      <c r="I68" s="81" t="s">
        <v>96</v>
      </c>
      <c r="J68" s="29"/>
      <c r="K68" s="29"/>
      <c r="L68" s="29"/>
      <c r="M68" s="29"/>
      <c r="N68" s="29"/>
      <c r="O68" s="29"/>
      <c r="P68" s="29"/>
      <c r="Q68" s="29"/>
      <c r="R68" s="29"/>
      <c r="S68" s="29"/>
      <c r="T68" s="29"/>
      <c r="U68" s="29"/>
      <c r="V68" s="29"/>
      <c r="W68" s="29"/>
      <c r="X68" s="29"/>
      <c r="Y68" s="29"/>
      <c r="Z68" s="29"/>
    </row>
    <row r="69" spans="1:48" x14ac:dyDescent="0.2">
      <c r="A69" s="58" t="s">
        <v>76</v>
      </c>
      <c r="B69" s="67" t="s">
        <v>99</v>
      </c>
      <c r="C69" s="67">
        <v>2009</v>
      </c>
      <c r="D69" s="67">
        <v>2009</v>
      </c>
      <c r="E69" s="67">
        <v>2012</v>
      </c>
      <c r="F69" s="68">
        <v>2017</v>
      </c>
      <c r="G69" s="29"/>
      <c r="H69" s="81">
        <v>2007</v>
      </c>
      <c r="I69" s="82">
        <v>2.8500000000000001E-2</v>
      </c>
      <c r="J69" s="29"/>
      <c r="K69" s="29"/>
      <c r="L69" s="29"/>
      <c r="M69" s="29"/>
      <c r="N69" s="29"/>
      <c r="O69" s="29"/>
      <c r="P69" s="29"/>
      <c r="Q69" s="29"/>
      <c r="R69" s="29"/>
      <c r="S69" s="29"/>
      <c r="T69" s="29"/>
      <c r="U69" s="29"/>
      <c r="V69" s="29"/>
      <c r="W69" s="29"/>
      <c r="X69" s="29"/>
      <c r="Y69" s="29"/>
      <c r="Z69" s="29"/>
    </row>
    <row r="70" spans="1:48" ht="25.5" x14ac:dyDescent="0.2">
      <c r="A70" s="58" t="s">
        <v>79</v>
      </c>
      <c r="B70" s="67" t="s">
        <v>99</v>
      </c>
      <c r="C70" s="67">
        <v>2011</v>
      </c>
      <c r="D70" s="67">
        <v>2011</v>
      </c>
      <c r="E70" s="67" t="s">
        <v>80</v>
      </c>
      <c r="F70" s="68" t="s">
        <v>81</v>
      </c>
      <c r="G70" s="29"/>
      <c r="H70" s="81">
        <v>2006</v>
      </c>
      <c r="I70" s="82">
        <v>3.2399999999999998E-2</v>
      </c>
      <c r="J70" s="29"/>
      <c r="K70" s="29"/>
      <c r="L70" s="29"/>
      <c r="M70" s="29"/>
      <c r="N70" s="29"/>
      <c r="O70" s="29"/>
      <c r="P70" s="29"/>
      <c r="Q70" s="29"/>
      <c r="R70" s="29"/>
      <c r="S70" s="29"/>
      <c r="T70" s="29"/>
      <c r="U70" s="29"/>
      <c r="V70" s="29"/>
      <c r="W70" s="29"/>
      <c r="X70" s="29"/>
      <c r="Y70" s="29"/>
      <c r="Z70" s="29"/>
    </row>
    <row r="71" spans="1:48" ht="38.25" x14ac:dyDescent="0.2">
      <c r="A71" s="58" t="s">
        <v>78</v>
      </c>
      <c r="B71" s="65">
        <f>FV(+B75,0,0,-B68,1)</f>
        <v>0</v>
      </c>
      <c r="C71" s="65">
        <f>FV(+C75,0,0,-C68,1)</f>
        <v>32970000</v>
      </c>
      <c r="D71" s="65">
        <f>FV(+D75,0,0,-D68,1)</f>
        <v>22700000</v>
      </c>
      <c r="E71" s="65">
        <f>FV(+E75,3,0,-E68,1)</f>
        <v>21699680.625000004</v>
      </c>
      <c r="F71" s="65">
        <f>FV(+F75,8,0,-F68,1)</f>
        <v>5946758.1612509768</v>
      </c>
      <c r="G71" s="29"/>
      <c r="H71" s="81">
        <v>2005</v>
      </c>
      <c r="I71" s="82">
        <v>3.39E-2</v>
      </c>
      <c r="J71" s="29"/>
      <c r="K71" s="29"/>
      <c r="L71" s="29"/>
      <c r="M71" s="29"/>
      <c r="N71" s="29"/>
      <c r="O71" s="29"/>
      <c r="P71" s="29"/>
      <c r="Q71" s="29"/>
      <c r="R71" s="29"/>
      <c r="S71" s="29"/>
      <c r="T71" s="29"/>
      <c r="U71" s="29"/>
      <c r="V71" s="29"/>
      <c r="W71" s="29"/>
      <c r="X71" s="29"/>
      <c r="Y71" s="29"/>
      <c r="Z71" s="29"/>
    </row>
    <row r="72" spans="1:48" x14ac:dyDescent="0.2">
      <c r="A72" s="58" t="s">
        <v>53</v>
      </c>
      <c r="B72" s="65">
        <f>+B71*0.0035</f>
        <v>0</v>
      </c>
      <c r="C72" s="65">
        <f>+C71*0.0035</f>
        <v>115395</v>
      </c>
      <c r="D72" s="65">
        <f>+D71*0.0035</f>
        <v>79450</v>
      </c>
      <c r="E72" s="65">
        <f>+E71*0.0035</f>
        <v>75948.882187500014</v>
      </c>
      <c r="F72" s="65">
        <f>+F71*0.0035</f>
        <v>20813.653564378419</v>
      </c>
      <c r="G72" s="29"/>
      <c r="H72" s="81">
        <v>2004</v>
      </c>
      <c r="I72" s="82">
        <v>2.6800000000000001E-2</v>
      </c>
      <c r="J72" s="29"/>
      <c r="K72" s="29"/>
      <c r="L72" s="29"/>
      <c r="M72" s="29"/>
      <c r="N72" s="29"/>
      <c r="O72" s="29"/>
      <c r="P72" s="29"/>
      <c r="Q72" s="29"/>
      <c r="R72" s="29"/>
      <c r="S72" s="29"/>
      <c r="T72" s="29"/>
      <c r="U72" s="29"/>
      <c r="V72" s="29"/>
      <c r="W72" s="29"/>
      <c r="X72" s="29"/>
      <c r="Y72" s="29"/>
      <c r="Z72" s="29"/>
    </row>
    <row r="73" spans="1:48" x14ac:dyDescent="0.2">
      <c r="A73" s="58" t="s">
        <v>66</v>
      </c>
      <c r="B73" s="35">
        <v>0</v>
      </c>
      <c r="C73" s="35">
        <v>25</v>
      </c>
      <c r="D73" s="35">
        <v>25</v>
      </c>
      <c r="E73" s="35">
        <v>25</v>
      </c>
      <c r="F73" s="35">
        <v>25</v>
      </c>
      <c r="G73" s="29"/>
      <c r="H73" s="81">
        <v>2003</v>
      </c>
      <c r="I73" s="82">
        <v>2.2700000000000001E-2</v>
      </c>
      <c r="J73" s="29"/>
      <c r="K73" s="29"/>
      <c r="L73" s="29"/>
      <c r="M73" s="29"/>
      <c r="N73" s="29"/>
      <c r="O73" s="29"/>
      <c r="P73" s="29"/>
      <c r="Q73" s="29"/>
      <c r="R73" s="29"/>
      <c r="S73" s="29"/>
      <c r="T73" s="29"/>
      <c r="U73" s="29"/>
      <c r="V73" s="29"/>
      <c r="W73" s="29"/>
      <c r="X73" s="29"/>
      <c r="Y73" s="29"/>
      <c r="Z73" s="29"/>
    </row>
    <row r="74" spans="1:48" x14ac:dyDescent="0.2">
      <c r="A74" s="58" t="s">
        <v>67</v>
      </c>
      <c r="B74" s="60">
        <v>0</v>
      </c>
      <c r="C74" s="60">
        <v>5.28E-2</v>
      </c>
      <c r="D74" s="60">
        <v>5.28E-2</v>
      </c>
      <c r="E74" s="60">
        <v>5.28E-2</v>
      </c>
      <c r="F74" s="60">
        <v>5.28E-2</v>
      </c>
      <c r="G74" s="29"/>
      <c r="H74" s="81">
        <v>2002</v>
      </c>
      <c r="I74" s="82">
        <v>1.5900000000000001E-2</v>
      </c>
      <c r="J74" s="29"/>
      <c r="K74" s="29"/>
      <c r="L74" s="29"/>
      <c r="M74" s="29"/>
      <c r="N74" s="29"/>
      <c r="O74" s="29"/>
      <c r="P74" s="29"/>
      <c r="Q74" s="29"/>
      <c r="R74" s="29"/>
      <c r="S74" s="29"/>
      <c r="T74" s="29"/>
      <c r="U74" s="29"/>
      <c r="V74" s="29"/>
      <c r="W74" s="29"/>
      <c r="X74" s="29"/>
      <c r="Y74" s="29"/>
      <c r="Z74" s="29"/>
    </row>
    <row r="75" spans="1:48" x14ac:dyDescent="0.2">
      <c r="A75" s="58" t="s">
        <v>77</v>
      </c>
      <c r="B75" s="60">
        <v>0</v>
      </c>
      <c r="C75" s="60">
        <v>0.05</v>
      </c>
      <c r="D75" s="60">
        <v>0.05</v>
      </c>
      <c r="E75" s="60">
        <v>0.05</v>
      </c>
      <c r="F75" s="60">
        <v>0.05</v>
      </c>
      <c r="G75" s="29"/>
      <c r="H75" s="81">
        <v>2001</v>
      </c>
      <c r="I75" s="82">
        <v>2.8299999999999999E-2</v>
      </c>
      <c r="J75" s="29"/>
      <c r="K75" s="29"/>
      <c r="L75" s="29"/>
      <c r="M75" s="29"/>
      <c r="N75" s="29"/>
      <c r="O75" s="29"/>
      <c r="P75" s="29"/>
      <c r="Q75" s="29"/>
      <c r="R75" s="29"/>
      <c r="S75" s="29"/>
      <c r="T75" s="29"/>
      <c r="U75" s="29"/>
      <c r="V75" s="29"/>
      <c r="W75" s="29"/>
      <c r="X75" s="29"/>
      <c r="Y75" s="29"/>
      <c r="Z75" s="29"/>
    </row>
    <row r="76" spans="1:48" x14ac:dyDescent="0.2">
      <c r="A76" s="58" t="s">
        <v>68</v>
      </c>
      <c r="B76" s="66">
        <v>0</v>
      </c>
      <c r="C76" s="66">
        <f>PMT(C74,C73,-C71,0,1)</f>
        <v>2284745.3953403234</v>
      </c>
      <c r="D76" s="66">
        <f>PMT(D74,D73,-D71,0,1)</f>
        <v>1573057.9458363769</v>
      </c>
      <c r="E76" s="66">
        <f>PMT(E74,E73,-E71,0,1)</f>
        <v>1503738.1070162086</v>
      </c>
      <c r="F76" s="66">
        <f>PMT(F74,F73,-F71,0,1)</f>
        <v>412096.70385564631</v>
      </c>
      <c r="G76" s="29"/>
      <c r="H76" s="81">
        <v>2000</v>
      </c>
      <c r="I76" s="82">
        <v>3.3799999999999997E-2</v>
      </c>
      <c r="J76" s="29"/>
      <c r="K76" s="29"/>
      <c r="L76" s="29"/>
      <c r="M76" s="29"/>
      <c r="N76" s="29"/>
      <c r="O76" s="29"/>
      <c r="P76" s="29"/>
      <c r="Q76" s="29"/>
      <c r="R76" s="29"/>
      <c r="S76" s="29"/>
      <c r="T76" s="29"/>
      <c r="U76" s="29"/>
      <c r="V76" s="29"/>
      <c r="W76" s="29"/>
      <c r="X76" s="29"/>
      <c r="Y76" s="29"/>
      <c r="Z76" s="29"/>
    </row>
    <row r="77" spans="1:48" x14ac:dyDescent="0.2">
      <c r="A77" s="58" t="s">
        <v>69</v>
      </c>
      <c r="B77" s="63">
        <v>0</v>
      </c>
      <c r="C77" s="63">
        <f>+C76/2</f>
        <v>1142372.6976701617</v>
      </c>
      <c r="D77" s="63">
        <f>+D76/2</f>
        <v>786528.97291818843</v>
      </c>
      <c r="E77" s="63">
        <f>+E76/2</f>
        <v>751869.05350810429</v>
      </c>
      <c r="F77" s="63">
        <f>+F76/2</f>
        <v>206048.35192782315</v>
      </c>
      <c r="G77" s="29"/>
      <c r="H77" s="81"/>
      <c r="I77" s="81"/>
      <c r="J77" s="29"/>
      <c r="K77" s="29"/>
      <c r="L77" s="29"/>
      <c r="M77" s="29"/>
      <c r="N77" s="29"/>
      <c r="O77" s="29"/>
      <c r="P77" s="29"/>
      <c r="Q77" s="29"/>
      <c r="R77" s="29"/>
      <c r="S77" s="29"/>
      <c r="T77" s="29"/>
      <c r="U77" s="29"/>
      <c r="V77" s="29"/>
      <c r="W77" s="29"/>
      <c r="X77" s="29"/>
      <c r="Y77" s="29"/>
      <c r="Z77" s="29"/>
    </row>
    <row r="78" spans="1:48" x14ac:dyDescent="0.2">
      <c r="A78" s="28"/>
      <c r="B78" s="35"/>
      <c r="C78" s="35"/>
      <c r="D78" s="35"/>
      <c r="E78" s="35"/>
      <c r="F78" s="29"/>
      <c r="G78" s="29"/>
      <c r="H78" s="81"/>
      <c r="I78" s="81"/>
      <c r="J78" s="29"/>
      <c r="K78" s="29"/>
      <c r="L78" s="29"/>
      <c r="M78" s="29"/>
      <c r="N78" s="29"/>
      <c r="O78" s="29"/>
      <c r="P78" s="29"/>
      <c r="Q78" s="29"/>
      <c r="R78" s="29"/>
      <c r="S78" s="29"/>
      <c r="T78" s="29"/>
      <c r="U78" s="29"/>
      <c r="V78" s="29"/>
      <c r="W78" s="29"/>
      <c r="X78" s="29"/>
      <c r="Y78" s="29"/>
      <c r="Z78" s="29"/>
    </row>
    <row r="79" spans="1:48" x14ac:dyDescent="0.2">
      <c r="A79" s="70" t="s">
        <v>88</v>
      </c>
      <c r="B79" s="71">
        <f>+B72+(B76*B73)</f>
        <v>0</v>
      </c>
      <c r="C79" s="71">
        <f>+C72+(C76*C73)</f>
        <v>57234029.883508086</v>
      </c>
      <c r="D79" s="71">
        <f>+D72+(D76*D73)</f>
        <v>39405898.645909421</v>
      </c>
      <c r="E79" s="71">
        <f>+E72+(E76*E73)</f>
        <v>37669401.557592712</v>
      </c>
      <c r="F79" s="71">
        <f>+F72+(F76*F73)</f>
        <v>10323231.249955537</v>
      </c>
      <c r="G79" s="29"/>
      <c r="H79" s="81"/>
      <c r="I79" s="81"/>
      <c r="J79" s="29"/>
      <c r="K79" s="29"/>
      <c r="L79" s="29"/>
      <c r="M79" s="29"/>
      <c r="N79" s="29"/>
      <c r="O79" s="29"/>
      <c r="P79" s="29"/>
      <c r="Q79" s="29"/>
      <c r="R79" s="29"/>
      <c r="S79" s="29"/>
      <c r="T79" s="29"/>
      <c r="U79" s="29"/>
      <c r="V79" s="29"/>
      <c r="W79" s="29"/>
      <c r="X79" s="29"/>
      <c r="Y79" s="29"/>
      <c r="Z79" s="29"/>
    </row>
    <row r="80" spans="1:48" x14ac:dyDescent="0.2">
      <c r="A80" s="28"/>
      <c r="B80" s="35"/>
      <c r="C80" s="35"/>
      <c r="D80" s="35"/>
      <c r="E80" s="29"/>
      <c r="F80" s="29"/>
      <c r="G80" s="81"/>
      <c r="H80" s="81"/>
      <c r="I80" s="29"/>
      <c r="J80" s="29"/>
      <c r="K80" s="29"/>
      <c r="L80" s="29"/>
      <c r="M80" s="29"/>
      <c r="N80" s="29"/>
      <c r="O80" s="29"/>
      <c r="P80" s="29"/>
      <c r="Q80" s="29"/>
      <c r="R80" s="29"/>
      <c r="S80" s="29"/>
      <c r="T80" s="29"/>
      <c r="U80" s="29"/>
      <c r="V80" s="29"/>
      <c r="W80" s="29"/>
      <c r="X80" s="29"/>
      <c r="Y80" s="29"/>
      <c r="Z80" s="29"/>
    </row>
    <row r="81" spans="1:26" ht="25.5" x14ac:dyDescent="0.2">
      <c r="A81" s="72" t="s">
        <v>89</v>
      </c>
      <c r="B81" s="35"/>
      <c r="C81" s="35"/>
      <c r="D81" s="35"/>
      <c r="E81" s="29"/>
      <c r="F81" s="29"/>
      <c r="G81" s="81"/>
      <c r="H81" s="81"/>
      <c r="I81" s="29"/>
      <c r="J81" s="29"/>
      <c r="K81" s="29"/>
      <c r="L81" s="29"/>
      <c r="M81" s="29"/>
      <c r="N81" s="29"/>
      <c r="O81" s="29"/>
      <c r="P81" s="29"/>
      <c r="Q81" s="29"/>
      <c r="R81" s="29"/>
      <c r="S81" s="29"/>
      <c r="T81" s="29"/>
      <c r="U81" s="29"/>
      <c r="V81" s="29"/>
      <c r="W81" s="29"/>
      <c r="X81" s="29"/>
      <c r="Y81" s="29"/>
      <c r="Z81" s="29"/>
    </row>
    <row r="82" spans="1:26" x14ac:dyDescent="0.2">
      <c r="A82" s="73" t="s">
        <v>90</v>
      </c>
      <c r="B82" s="74">
        <f>+B23-B60</f>
        <v>-56910.430000000168</v>
      </c>
      <c r="C82" s="74">
        <f>+C23-C60</f>
        <v>-107344.43999999994</v>
      </c>
      <c r="D82" s="74">
        <f>+D23-D60</f>
        <v>180018.62999999989</v>
      </c>
      <c r="E82" s="74">
        <f>+E23-E60</f>
        <v>87493.899999999907</v>
      </c>
      <c r="F82" s="29"/>
      <c r="G82" s="81"/>
      <c r="H82" s="81"/>
      <c r="I82" s="29"/>
      <c r="J82" s="29"/>
      <c r="K82" s="29"/>
      <c r="L82" s="29"/>
      <c r="M82" s="29"/>
      <c r="N82" s="29"/>
      <c r="O82" s="29"/>
      <c r="P82" s="29"/>
      <c r="Q82" s="29"/>
      <c r="R82" s="29"/>
      <c r="S82" s="29"/>
      <c r="T82" s="29"/>
      <c r="U82" s="29"/>
      <c r="V82" s="29"/>
      <c r="W82" s="29"/>
      <c r="X82" s="29"/>
      <c r="Y82" s="29"/>
      <c r="Z82" s="29"/>
    </row>
    <row r="83" spans="1:26" x14ac:dyDescent="0.2">
      <c r="A83" s="73" t="s">
        <v>91</v>
      </c>
      <c r="B83" s="74">
        <f>+B46-B61</f>
        <v>184117.45000000019</v>
      </c>
      <c r="C83" s="74">
        <f>+C46-C61</f>
        <v>-77902.299999999814</v>
      </c>
      <c r="D83" s="74">
        <f>+D46-D61</f>
        <v>0</v>
      </c>
      <c r="E83" s="74">
        <f>+E46-E61</f>
        <v>180254.37000000011</v>
      </c>
      <c r="F83" s="29"/>
      <c r="G83" s="81"/>
      <c r="H83" s="81"/>
      <c r="I83" s="29"/>
      <c r="J83" s="29"/>
      <c r="K83" s="29"/>
      <c r="L83" s="29"/>
      <c r="M83" s="29"/>
      <c r="N83" s="29"/>
      <c r="O83" s="29"/>
      <c r="P83" s="29"/>
      <c r="Q83" s="29"/>
      <c r="R83" s="29"/>
      <c r="S83" s="29"/>
      <c r="T83" s="29"/>
      <c r="U83" s="29"/>
      <c r="V83" s="29"/>
      <c r="W83" s="29"/>
      <c r="X83" s="29"/>
      <c r="Y83" s="29"/>
      <c r="Z83" s="29"/>
    </row>
    <row r="84" spans="1:26" x14ac:dyDescent="0.2">
      <c r="A84" s="28"/>
      <c r="B84" s="35"/>
      <c r="C84" s="35"/>
      <c r="D84" s="35"/>
      <c r="E84" s="29"/>
      <c r="F84" s="29"/>
      <c r="G84" s="29"/>
      <c r="H84" s="29"/>
      <c r="I84" s="29"/>
      <c r="J84" s="29"/>
      <c r="K84" s="29"/>
      <c r="L84" s="29"/>
      <c r="M84" s="29"/>
      <c r="N84" s="29"/>
      <c r="O84" s="29"/>
      <c r="P84" s="29"/>
      <c r="Q84" s="29"/>
      <c r="R84" s="29"/>
      <c r="S84" s="29"/>
      <c r="T84" s="29"/>
      <c r="U84" s="29"/>
      <c r="V84" s="29"/>
      <c r="W84" s="29"/>
      <c r="X84" s="29"/>
      <c r="Y84" s="29"/>
      <c r="Z84" s="29"/>
    </row>
    <row r="85" spans="1:26" x14ac:dyDescent="0.2">
      <c r="A85" s="28"/>
      <c r="B85" s="35"/>
      <c r="C85" s="35"/>
      <c r="D85" s="35"/>
      <c r="E85" s="29"/>
      <c r="F85" s="29"/>
      <c r="G85" s="29"/>
      <c r="H85" s="29"/>
      <c r="I85" s="29"/>
      <c r="J85" s="29"/>
      <c r="K85" s="29"/>
      <c r="L85" s="29"/>
      <c r="M85" s="29"/>
      <c r="N85" s="29"/>
      <c r="O85" s="29"/>
      <c r="P85" s="29"/>
      <c r="Q85" s="29"/>
      <c r="R85" s="29"/>
      <c r="S85" s="29"/>
      <c r="T85" s="29"/>
      <c r="U85" s="29"/>
      <c r="V85" s="29"/>
      <c r="W85" s="29"/>
      <c r="X85" s="29"/>
      <c r="Y85" s="29"/>
      <c r="Z85" s="29"/>
    </row>
    <row r="86" spans="1:26" x14ac:dyDescent="0.2">
      <c r="A86" s="28"/>
      <c r="B86" s="35"/>
      <c r="C86" s="35"/>
      <c r="D86" s="35"/>
      <c r="E86" s="29"/>
      <c r="F86" s="29"/>
      <c r="G86" s="29"/>
      <c r="H86" s="29"/>
      <c r="I86" s="29"/>
      <c r="J86" s="29"/>
      <c r="K86" s="29"/>
      <c r="L86" s="29"/>
      <c r="M86" s="29"/>
      <c r="N86" s="29"/>
      <c r="O86" s="29"/>
      <c r="P86" s="29"/>
      <c r="Q86" s="29"/>
      <c r="R86" s="29"/>
      <c r="S86" s="29"/>
      <c r="T86" s="29"/>
      <c r="U86" s="29"/>
      <c r="V86" s="29"/>
      <c r="W86" s="29"/>
      <c r="X86" s="29"/>
      <c r="Y86" s="29"/>
      <c r="Z86" s="29"/>
    </row>
    <row r="87" spans="1:26" x14ac:dyDescent="0.2">
      <c r="A87" s="28"/>
      <c r="B87" s="35"/>
      <c r="C87" s="35"/>
      <c r="D87" s="35"/>
      <c r="E87" s="29"/>
      <c r="F87" s="29"/>
      <c r="G87" s="29"/>
      <c r="H87" s="29"/>
      <c r="I87" s="29"/>
      <c r="J87" s="29"/>
      <c r="K87" s="29"/>
      <c r="L87" s="29"/>
      <c r="M87" s="29"/>
      <c r="N87" s="29"/>
      <c r="O87" s="29"/>
      <c r="P87" s="29"/>
      <c r="Q87" s="29"/>
      <c r="R87" s="29"/>
      <c r="S87" s="29"/>
      <c r="T87" s="29"/>
      <c r="U87" s="29"/>
      <c r="V87" s="29"/>
      <c r="W87" s="29"/>
      <c r="X87" s="29"/>
      <c r="Y87" s="29"/>
      <c r="Z87" s="29"/>
    </row>
  </sheetData>
  <phoneticPr fontId="1" type="noConversion"/>
  <pageMargins left="0.75" right="0.75" top="0.61" bottom="0.56000000000000005" header="0.5" footer="0.5"/>
  <pageSetup paperSize="17" scale="70" orientation="landscape"/>
  <headerFooter alignWithMargins="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104"/>
  <sheetViews>
    <sheetView windowProtection="1" zoomScaleNormal="100" workbookViewId="0">
      <selection activeCell="P20" sqref="P20"/>
    </sheetView>
  </sheetViews>
  <sheetFormatPr defaultRowHeight="12.75" x14ac:dyDescent="0.2"/>
  <cols>
    <col min="1" max="1" width="35.140625" bestFit="1" customWidth="1"/>
    <col min="2" max="2" width="22.5703125" hidden="1" customWidth="1"/>
    <col min="3" max="3" width="12.7109375" hidden="1" customWidth="1"/>
    <col min="4" max="4" width="14.85546875" customWidth="1"/>
    <col min="5" max="13" width="12.7109375" bestFit="1" customWidth="1"/>
    <col min="14" max="14" width="10.140625" customWidth="1"/>
    <col min="15" max="15" width="10.7109375" bestFit="1" customWidth="1"/>
    <col min="16" max="16" width="10.140625" bestFit="1" customWidth="1"/>
  </cols>
  <sheetData>
    <row r="1" spans="1:58" ht="15.75" customHeight="1" thickBot="1" x14ac:dyDescent="0.25">
      <c r="A1" t="s">
        <v>52</v>
      </c>
      <c r="B1" s="104" t="s">
        <v>137</v>
      </c>
    </row>
    <row r="2" spans="1:58" ht="13.5" hidden="1" thickBot="1" x14ac:dyDescent="0.25"/>
    <row r="3" spans="1:58" x14ac:dyDescent="0.2">
      <c r="A3" s="9" t="s">
        <v>24</v>
      </c>
      <c r="B3" s="102" t="s">
        <v>135</v>
      </c>
      <c r="C3" s="117">
        <v>2004</v>
      </c>
      <c r="D3" s="117">
        <v>2005</v>
      </c>
      <c r="E3" s="117">
        <v>2006</v>
      </c>
      <c r="F3" s="117">
        <v>2007</v>
      </c>
      <c r="G3" s="117">
        <v>2008</v>
      </c>
      <c r="H3" s="117">
        <v>2009</v>
      </c>
      <c r="I3" s="117">
        <v>2010</v>
      </c>
      <c r="J3" s="117">
        <v>2011</v>
      </c>
      <c r="K3" s="117">
        <v>2012</v>
      </c>
      <c r="L3" s="117">
        <v>2013</v>
      </c>
      <c r="M3" s="117">
        <v>2014</v>
      </c>
      <c r="N3" s="117">
        <v>2015</v>
      </c>
      <c r="O3" s="117">
        <v>2016</v>
      </c>
      <c r="P3" s="117">
        <v>2017</v>
      </c>
      <c r="Q3" s="117">
        <v>2018</v>
      </c>
      <c r="R3" s="117">
        <v>2019</v>
      </c>
      <c r="S3" s="117">
        <v>2020</v>
      </c>
      <c r="T3" s="117">
        <v>2021</v>
      </c>
      <c r="U3" s="117">
        <v>2022</v>
      </c>
      <c r="V3" s="117">
        <v>2023</v>
      </c>
      <c r="W3" s="117">
        <v>2024</v>
      </c>
      <c r="X3" s="117">
        <v>2025</v>
      </c>
      <c r="Y3" s="117">
        <v>2026</v>
      </c>
      <c r="Z3" s="117">
        <v>2027</v>
      </c>
      <c r="AA3" s="117">
        <v>2028</v>
      </c>
      <c r="AB3" s="117">
        <v>2029</v>
      </c>
      <c r="AC3" s="117">
        <v>2030</v>
      </c>
      <c r="AD3" s="117">
        <v>2031</v>
      </c>
      <c r="AE3" s="117">
        <v>2032</v>
      </c>
      <c r="AF3" s="117">
        <v>2033</v>
      </c>
      <c r="AG3" s="117">
        <v>2034</v>
      </c>
      <c r="AH3" s="117">
        <v>2035</v>
      </c>
      <c r="AI3" s="117">
        <v>2036</v>
      </c>
      <c r="AJ3" s="117">
        <v>2037</v>
      </c>
      <c r="AK3" s="117">
        <v>2038</v>
      </c>
      <c r="AL3" s="117">
        <v>2039</v>
      </c>
      <c r="AM3" s="117">
        <v>2040</v>
      </c>
      <c r="AN3" s="117">
        <v>2041</v>
      </c>
      <c r="AO3" s="117">
        <v>2042</v>
      </c>
      <c r="AP3" s="117">
        <v>2043</v>
      </c>
      <c r="AQ3" s="117">
        <v>2044</v>
      </c>
      <c r="AR3" s="117">
        <v>2045</v>
      </c>
      <c r="AS3" s="117">
        <v>2046</v>
      </c>
      <c r="AT3" s="117">
        <v>2047</v>
      </c>
      <c r="AU3" s="117">
        <v>2048</v>
      </c>
      <c r="AV3" s="117">
        <v>2049</v>
      </c>
      <c r="AW3" s="117">
        <v>2050</v>
      </c>
      <c r="AX3" s="117">
        <v>2051</v>
      </c>
      <c r="AY3" s="117">
        <v>2052</v>
      </c>
      <c r="AZ3" s="117">
        <v>2053</v>
      </c>
      <c r="BA3" s="117">
        <v>2054</v>
      </c>
      <c r="BB3" s="117">
        <v>2055</v>
      </c>
      <c r="BC3" s="117">
        <v>2056</v>
      </c>
      <c r="BD3" s="117">
        <v>2057</v>
      </c>
      <c r="BE3" s="117">
        <v>2058</v>
      </c>
      <c r="BF3" s="117">
        <v>2059</v>
      </c>
    </row>
    <row r="4" spans="1:58" hidden="1" x14ac:dyDescent="0.2">
      <c r="A4" s="36"/>
      <c r="B4" s="37"/>
      <c r="C4" s="37"/>
      <c r="D4" s="37"/>
    </row>
    <row r="5" spans="1:58" x14ac:dyDescent="0.2">
      <c r="A5" s="36" t="s">
        <v>38</v>
      </c>
      <c r="B5" s="105" t="s">
        <v>127</v>
      </c>
      <c r="C5" s="75">
        <v>6323</v>
      </c>
      <c r="D5" s="75">
        <v>6323</v>
      </c>
      <c r="E5" s="75">
        <v>6323</v>
      </c>
      <c r="F5" s="75">
        <v>6323</v>
      </c>
      <c r="G5" s="75">
        <v>6323</v>
      </c>
      <c r="H5" s="75">
        <v>6323</v>
      </c>
      <c r="I5" s="75">
        <v>6323</v>
      </c>
      <c r="J5" s="75">
        <v>6323</v>
      </c>
      <c r="K5" s="75">
        <v>6323</v>
      </c>
      <c r="L5" s="75">
        <v>6323</v>
      </c>
      <c r="M5" s="75">
        <v>6323</v>
      </c>
      <c r="N5" s="163">
        <v>6600</v>
      </c>
    </row>
    <row r="6" spans="1:58" ht="15.75" x14ac:dyDescent="0.3">
      <c r="A6" s="42" t="s">
        <v>25</v>
      </c>
      <c r="B6" s="105" t="s">
        <v>141</v>
      </c>
      <c r="C6" s="27"/>
      <c r="D6" s="52">
        <f>(+D12/C12)-1</f>
        <v>6.3014932126696843E-2</v>
      </c>
      <c r="E6" s="52">
        <f>(+E12/D12)-1</f>
        <v>-6.6906089271401292E-3</v>
      </c>
      <c r="F6" s="52">
        <f t="shared" ref="F6:M6" si="0">(+F12/E12)-1</f>
        <v>4.820819825630096E-2</v>
      </c>
      <c r="G6" s="52">
        <f t="shared" si="0"/>
        <v>2.053931230098005E-3</v>
      </c>
      <c r="H6" s="52">
        <f t="shared" si="0"/>
        <v>-2.3495908921223996E-2</v>
      </c>
      <c r="I6" s="52">
        <f t="shared" si="0"/>
        <v>5.9499263622975196E-3</v>
      </c>
      <c r="J6" s="52">
        <f t="shared" si="0"/>
        <v>-2.8696906113511722E-2</v>
      </c>
      <c r="K6" s="52">
        <f t="shared" si="0"/>
        <v>3.6426151810767138E-2</v>
      </c>
      <c r="L6" s="52">
        <f t="shared" si="0"/>
        <v>-2.2725388015309766E-2</v>
      </c>
      <c r="M6" s="52">
        <f t="shared" si="0"/>
        <v>-4.7094916383356944E-2</v>
      </c>
      <c r="N6" s="160"/>
      <c r="O6" s="160"/>
    </row>
    <row r="7" spans="1:58" x14ac:dyDescent="0.2">
      <c r="A7" s="42" t="s">
        <v>57</v>
      </c>
      <c r="B7" s="105" t="s">
        <v>129</v>
      </c>
      <c r="C7" s="27"/>
      <c r="D7" s="52">
        <f>(+D54-D39-D40-D43-D44)/(+C54-C39-C40-C43-C44)-1</f>
        <v>2.0228935775584489E-2</v>
      </c>
      <c r="E7" s="52">
        <f>(+E54-E39-E40-E43-E44)/(+D54-D39-D40-D43-D44)-1</f>
        <v>8.2729268245487209E-3</v>
      </c>
      <c r="F7" s="52">
        <f t="shared" ref="F7:L7" si="1">(+F54-F39-F40-F43-F44)/(+E54-E39-E40-E43-E44)-1</f>
        <v>-2.9983598331373651E-2</v>
      </c>
      <c r="G7" s="52">
        <f t="shared" si="1"/>
        <v>0.14012079262196031</v>
      </c>
      <c r="H7" s="52">
        <f t="shared" si="1"/>
        <v>-3.5077449987006348E-2</v>
      </c>
      <c r="I7" s="52">
        <f t="shared" si="1"/>
        <v>-4.5807346141716221E-2</v>
      </c>
      <c r="J7" s="52">
        <f t="shared" si="1"/>
        <v>-5.0285536713866597E-3</v>
      </c>
      <c r="K7" s="52">
        <f t="shared" si="1"/>
        <v>-5.3289583716419675E-2</v>
      </c>
      <c r="L7" s="52">
        <f t="shared" si="1"/>
        <v>9.9836220460144398E-2</v>
      </c>
      <c r="M7" s="52">
        <f>(+M54-M39-M40-M43-M44)/(+L54-L39-L40-L43-L44)-1</f>
        <v>-6.3747576175748888E-2</v>
      </c>
      <c r="N7" s="160"/>
      <c r="O7" s="161"/>
    </row>
    <row r="8" spans="1:58" x14ac:dyDescent="0.2">
      <c r="A8" s="42" t="s">
        <v>97</v>
      </c>
      <c r="B8" s="105" t="s">
        <v>130</v>
      </c>
      <c r="C8" s="103">
        <v>0</v>
      </c>
      <c r="D8" s="103">
        <v>0</v>
      </c>
      <c r="E8" s="103">
        <v>0</v>
      </c>
      <c r="F8" s="103">
        <v>0</v>
      </c>
      <c r="G8" s="103">
        <v>0</v>
      </c>
      <c r="H8" s="103">
        <v>0</v>
      </c>
      <c r="I8" s="103">
        <v>0</v>
      </c>
      <c r="J8" s="103">
        <v>0</v>
      </c>
      <c r="K8" s="103">
        <v>0</v>
      </c>
      <c r="L8" s="103">
        <v>0</v>
      </c>
      <c r="M8" s="103">
        <v>0</v>
      </c>
      <c r="N8" s="161">
        <v>0</v>
      </c>
      <c r="O8" s="161">
        <v>0</v>
      </c>
      <c r="P8" s="161">
        <v>0</v>
      </c>
      <c r="Q8" s="161">
        <v>0</v>
      </c>
      <c r="R8" s="161">
        <v>0</v>
      </c>
      <c r="S8" s="161">
        <v>0</v>
      </c>
    </row>
    <row r="9" spans="1:58" x14ac:dyDescent="0.2">
      <c r="A9" s="42" t="s">
        <v>63</v>
      </c>
      <c r="B9" s="106" t="s">
        <v>136</v>
      </c>
      <c r="C9" s="88">
        <f>+C12/C5/12</f>
        <v>29.126469502873107</v>
      </c>
      <c r="D9" s="89">
        <f>(+D12/D5)/12</f>
        <v>30.96187200168696</v>
      </c>
      <c r="E9" s="89">
        <f>(+E12/E5)/12</f>
        <v>30.754718224471507</v>
      </c>
      <c r="F9" s="89">
        <f t="shared" ref="F9:M9" si="2">(+F12/F5)/12</f>
        <v>32.237347777953502</v>
      </c>
      <c r="G9" s="89">
        <f t="shared" si="2"/>
        <v>32.303561073330172</v>
      </c>
      <c r="H9" s="89">
        <f t="shared" si="2"/>
        <v>31.544559544520009</v>
      </c>
      <c r="I9" s="89">
        <f t="shared" si="2"/>
        <v>31.732247350941009</v>
      </c>
      <c r="J9" s="89">
        <f t="shared" si="2"/>
        <v>30.821630027940326</v>
      </c>
      <c r="K9" s="89">
        <f t="shared" si="2"/>
        <v>31.944343402393375</v>
      </c>
      <c r="L9" s="89">
        <f t="shared" si="2"/>
        <v>31.218395803679687</v>
      </c>
      <c r="M9" s="89">
        <f t="shared" si="2"/>
        <v>29.748168063682851</v>
      </c>
      <c r="N9" s="169"/>
      <c r="O9" s="162"/>
    </row>
    <row r="10" spans="1:58" ht="16.5" customHeight="1" thickBot="1" x14ac:dyDescent="0.25">
      <c r="A10" s="120" t="s">
        <v>50</v>
      </c>
      <c r="B10" s="107" t="s">
        <v>138</v>
      </c>
      <c r="C10" s="127" t="s">
        <v>112</v>
      </c>
      <c r="D10" s="127" t="s">
        <v>112</v>
      </c>
      <c r="E10" s="127" t="s">
        <v>112</v>
      </c>
      <c r="F10" s="127" t="s">
        <v>112</v>
      </c>
      <c r="G10" s="127" t="s">
        <v>112</v>
      </c>
      <c r="H10" s="127" t="s">
        <v>112</v>
      </c>
      <c r="I10" s="127" t="s">
        <v>112</v>
      </c>
      <c r="J10" s="127" t="s">
        <v>112</v>
      </c>
      <c r="K10" s="127" t="s">
        <v>112</v>
      </c>
      <c r="L10" s="127" t="s">
        <v>112</v>
      </c>
      <c r="M10" s="127" t="s">
        <v>112</v>
      </c>
      <c r="N10" s="112" t="s">
        <v>154</v>
      </c>
    </row>
    <row r="11" spans="1:58" x14ac:dyDescent="0.2">
      <c r="A11" s="42" t="s">
        <v>29</v>
      </c>
      <c r="B11" s="108" t="s">
        <v>131</v>
      </c>
      <c r="C11" s="31">
        <v>25000</v>
      </c>
      <c r="D11" s="130">
        <v>23834</v>
      </c>
      <c r="E11" s="131">
        <v>29711</v>
      </c>
      <c r="F11" s="131">
        <v>18469</v>
      </c>
      <c r="G11" s="131">
        <v>10328</v>
      </c>
      <c r="H11" s="131">
        <v>13032</v>
      </c>
      <c r="I11" s="131">
        <v>21080</v>
      </c>
      <c r="J11" s="131">
        <v>17722</v>
      </c>
      <c r="K11" s="131">
        <v>23670</v>
      </c>
      <c r="L11" s="131">
        <v>18353</v>
      </c>
      <c r="M11" s="143">
        <v>29899</v>
      </c>
      <c r="N11" s="152">
        <v>21000</v>
      </c>
    </row>
    <row r="12" spans="1:58" x14ac:dyDescent="0.2">
      <c r="A12" s="42" t="s">
        <v>30</v>
      </c>
      <c r="B12" s="108" t="s">
        <v>140</v>
      </c>
      <c r="C12" s="31">
        <v>2210000</v>
      </c>
      <c r="D12" s="134">
        <v>2349263</v>
      </c>
      <c r="E12" s="56">
        <v>2333545</v>
      </c>
      <c r="F12" s="56">
        <v>2446041</v>
      </c>
      <c r="G12" s="56">
        <v>2451065</v>
      </c>
      <c r="H12" s="56">
        <v>2393475</v>
      </c>
      <c r="I12" s="56">
        <v>2407716</v>
      </c>
      <c r="J12" s="56">
        <v>2338622</v>
      </c>
      <c r="K12" s="56">
        <v>2423809</v>
      </c>
      <c r="L12" s="56">
        <v>2368727</v>
      </c>
      <c r="M12" s="144">
        <v>2257172</v>
      </c>
      <c r="N12" s="152">
        <v>2377000</v>
      </c>
    </row>
    <row r="13" spans="1:58" x14ac:dyDescent="0.2">
      <c r="A13" s="42" t="s">
        <v>26</v>
      </c>
      <c r="B13" s="108" t="s">
        <v>128</v>
      </c>
      <c r="C13" s="31">
        <v>25000</v>
      </c>
      <c r="D13" s="134">
        <v>7307</v>
      </c>
      <c r="E13" s="56">
        <v>9150</v>
      </c>
      <c r="F13" s="56">
        <v>13753</v>
      </c>
      <c r="G13" s="56">
        <v>17876</v>
      </c>
      <c r="H13" s="56">
        <v>9981</v>
      </c>
      <c r="I13" s="56">
        <v>3941</v>
      </c>
      <c r="J13" s="56">
        <v>2880</v>
      </c>
      <c r="K13" s="56">
        <v>2875</v>
      </c>
      <c r="L13" s="56">
        <v>1014</v>
      </c>
      <c r="M13" s="144">
        <v>2428</v>
      </c>
      <c r="N13" s="152">
        <v>7000</v>
      </c>
    </row>
    <row r="14" spans="1:58" x14ac:dyDescent="0.2">
      <c r="A14" s="42" t="s">
        <v>31</v>
      </c>
      <c r="B14" s="108" t="s">
        <v>132</v>
      </c>
      <c r="C14" s="31">
        <v>8000</v>
      </c>
      <c r="D14" s="134">
        <v>38471</v>
      </c>
      <c r="E14" s="56">
        <v>43231</v>
      </c>
      <c r="F14" s="56">
        <v>51232</v>
      </c>
      <c r="G14" s="56">
        <v>4597</v>
      </c>
      <c r="H14" s="56">
        <v>11889</v>
      </c>
      <c r="I14" s="56">
        <v>14680</v>
      </c>
      <c r="J14" s="56">
        <v>33525</v>
      </c>
      <c r="K14" s="56">
        <v>6653</v>
      </c>
      <c r="L14" s="56">
        <v>5279</v>
      </c>
      <c r="M14" s="144">
        <v>27682</v>
      </c>
      <c r="N14" s="152">
        <v>24000</v>
      </c>
    </row>
    <row r="15" spans="1:58" x14ac:dyDescent="0.2">
      <c r="A15" s="42" t="s">
        <v>32</v>
      </c>
      <c r="B15" s="108" t="s">
        <v>133</v>
      </c>
      <c r="C15" s="31">
        <v>250</v>
      </c>
      <c r="D15" s="134">
        <v>0</v>
      </c>
      <c r="E15" s="56">
        <v>0</v>
      </c>
      <c r="F15" s="126">
        <v>0</v>
      </c>
      <c r="G15" s="56">
        <v>0</v>
      </c>
      <c r="H15" s="56">
        <v>0</v>
      </c>
      <c r="I15" s="56">
        <v>0</v>
      </c>
      <c r="J15" s="56">
        <v>0</v>
      </c>
      <c r="K15" s="56">
        <v>1798</v>
      </c>
      <c r="L15" s="56">
        <v>748</v>
      </c>
      <c r="M15" s="144">
        <v>0</v>
      </c>
      <c r="N15" s="152">
        <v>300</v>
      </c>
    </row>
    <row r="16" spans="1:58" x14ac:dyDescent="0.2">
      <c r="A16" s="42" t="s">
        <v>33</v>
      </c>
      <c r="B16" s="108" t="s">
        <v>134</v>
      </c>
      <c r="C16" s="31">
        <v>140000</v>
      </c>
      <c r="D16" s="134">
        <v>223948</v>
      </c>
      <c r="E16" s="56">
        <v>129163</v>
      </c>
      <c r="F16" s="56">
        <v>113599</v>
      </c>
      <c r="G16" s="56">
        <v>100892</v>
      </c>
      <c r="H16" s="56">
        <v>48151</v>
      </c>
      <c r="I16" s="56">
        <v>18941</v>
      </c>
      <c r="J16" s="56">
        <v>14145</v>
      </c>
      <c r="K16" s="56">
        <v>22857</v>
      </c>
      <c r="L16" s="56">
        <v>9356</v>
      </c>
      <c r="M16" s="144">
        <v>6402</v>
      </c>
      <c r="N16" s="152">
        <v>69000</v>
      </c>
    </row>
    <row r="17" spans="1:14" x14ac:dyDescent="0.2">
      <c r="A17" s="42" t="s">
        <v>34</v>
      </c>
      <c r="B17" s="108"/>
      <c r="C17" s="31">
        <v>26000</v>
      </c>
      <c r="D17" s="134">
        <v>23369</v>
      </c>
      <c r="E17" s="56">
        <v>20193</v>
      </c>
      <c r="F17" s="56">
        <v>15208</v>
      </c>
      <c r="G17" s="56">
        <v>18396</v>
      </c>
      <c r="H17" s="56">
        <v>12403</v>
      </c>
      <c r="I17" s="56">
        <v>15497</v>
      </c>
      <c r="J17" s="56">
        <v>18199</v>
      </c>
      <c r="K17" s="56">
        <v>18482</v>
      </c>
      <c r="L17" s="56">
        <v>18482</v>
      </c>
      <c r="M17" s="144">
        <v>17399</v>
      </c>
      <c r="N17" s="152">
        <v>18000</v>
      </c>
    </row>
    <row r="18" spans="1:14" x14ac:dyDescent="0.2">
      <c r="A18" s="42" t="s">
        <v>35</v>
      </c>
      <c r="B18" s="108"/>
      <c r="C18" s="31">
        <v>40000</v>
      </c>
      <c r="D18" s="134">
        <v>24999</v>
      </c>
      <c r="E18" s="56">
        <v>21633</v>
      </c>
      <c r="F18" s="56">
        <v>33869</v>
      </c>
      <c r="G18" s="56">
        <v>35194</v>
      </c>
      <c r="H18" s="56">
        <v>51786</v>
      </c>
      <c r="I18" s="56">
        <v>72701</v>
      </c>
      <c r="J18" s="56">
        <v>81234</v>
      </c>
      <c r="K18" s="56">
        <v>76841</v>
      </c>
      <c r="L18" s="56">
        <v>61283</v>
      </c>
      <c r="M18" s="144">
        <v>62255</v>
      </c>
      <c r="N18" s="152">
        <v>52000</v>
      </c>
    </row>
    <row r="19" spans="1:14" x14ac:dyDescent="0.2">
      <c r="A19" s="42" t="s">
        <v>36</v>
      </c>
      <c r="B19" s="108"/>
      <c r="C19" s="31">
        <v>9000</v>
      </c>
      <c r="D19" s="134">
        <v>7908</v>
      </c>
      <c r="E19" s="56">
        <v>12025</v>
      </c>
      <c r="F19" s="56">
        <v>250</v>
      </c>
      <c r="G19" s="56">
        <v>37695</v>
      </c>
      <c r="H19" s="56">
        <v>7250</v>
      </c>
      <c r="I19" s="56">
        <v>29250</v>
      </c>
      <c r="J19" s="56">
        <v>34750</v>
      </c>
      <c r="K19" s="56">
        <v>0</v>
      </c>
      <c r="L19" s="56">
        <v>26700</v>
      </c>
      <c r="M19" s="144">
        <v>0</v>
      </c>
      <c r="N19" s="152">
        <v>16000</v>
      </c>
    </row>
    <row r="20" spans="1:14" x14ac:dyDescent="0.2">
      <c r="A20" s="43" t="s">
        <v>37</v>
      </c>
      <c r="B20" s="109"/>
      <c r="C20" s="31">
        <v>0</v>
      </c>
      <c r="D20" s="134">
        <v>0</v>
      </c>
      <c r="E20" s="56">
        <v>0</v>
      </c>
      <c r="F20" s="56">
        <v>0</v>
      </c>
      <c r="G20" s="56">
        <v>0</v>
      </c>
      <c r="H20" s="56">
        <v>0</v>
      </c>
      <c r="I20" s="56">
        <v>0</v>
      </c>
      <c r="J20" s="56">
        <v>0</v>
      </c>
      <c r="K20" s="126">
        <v>0</v>
      </c>
      <c r="L20" s="56">
        <v>0</v>
      </c>
      <c r="M20" s="144">
        <v>0</v>
      </c>
      <c r="N20" s="152">
        <v>0</v>
      </c>
    </row>
    <row r="21" spans="1:14" x14ac:dyDescent="0.2">
      <c r="A21" s="44" t="s">
        <v>27</v>
      </c>
      <c r="B21" s="110" t="s">
        <v>152</v>
      </c>
      <c r="C21" s="31">
        <v>55000</v>
      </c>
      <c r="D21" s="134">
        <v>25089</v>
      </c>
      <c r="E21" s="56">
        <v>26615</v>
      </c>
      <c r="F21" s="56">
        <v>24818</v>
      </c>
      <c r="G21" s="56">
        <v>24330</v>
      </c>
      <c r="H21" s="56">
        <v>23018</v>
      </c>
      <c r="I21" s="56">
        <v>22939</v>
      </c>
      <c r="J21" s="56">
        <v>23977</v>
      </c>
      <c r="K21" s="56">
        <v>23550</v>
      </c>
      <c r="L21" s="56">
        <v>26826</v>
      </c>
      <c r="M21" s="144">
        <v>0</v>
      </c>
      <c r="N21" s="152">
        <v>22000</v>
      </c>
    </row>
    <row r="22" spans="1:14" x14ac:dyDescent="0.2">
      <c r="A22" s="44" t="s">
        <v>28</v>
      </c>
      <c r="B22" s="110" t="s">
        <v>151</v>
      </c>
      <c r="C22" s="31">
        <v>80000</v>
      </c>
      <c r="D22" s="134">
        <v>76370</v>
      </c>
      <c r="E22" s="56">
        <v>55875</v>
      </c>
      <c r="F22" s="56">
        <v>34160</v>
      </c>
      <c r="G22" s="56">
        <v>16866</v>
      </c>
      <c r="H22" s="56">
        <v>23018</v>
      </c>
      <c r="I22" s="56">
        <v>20600</v>
      </c>
      <c r="J22" s="56">
        <v>40250</v>
      </c>
      <c r="K22" s="56">
        <v>16760</v>
      </c>
      <c r="L22" s="56">
        <v>24400</v>
      </c>
      <c r="M22" s="144">
        <v>25045</v>
      </c>
      <c r="N22" s="152">
        <v>33000</v>
      </c>
    </row>
    <row r="23" spans="1:14" x14ac:dyDescent="0.2">
      <c r="A23" s="44" t="s">
        <v>124</v>
      </c>
      <c r="B23" s="110"/>
      <c r="C23" s="31">
        <v>0</v>
      </c>
      <c r="D23" s="134">
        <v>0</v>
      </c>
      <c r="E23" s="56">
        <v>0</v>
      </c>
      <c r="F23" s="56">
        <v>0</v>
      </c>
      <c r="G23" s="56">
        <v>0</v>
      </c>
      <c r="H23" s="56">
        <v>19300</v>
      </c>
      <c r="I23" s="56">
        <v>0</v>
      </c>
      <c r="J23" s="56">
        <v>0</v>
      </c>
      <c r="K23" s="56">
        <v>0</v>
      </c>
      <c r="L23" s="56">
        <v>0</v>
      </c>
      <c r="M23" s="144">
        <v>6000</v>
      </c>
      <c r="N23" s="152">
        <v>3000</v>
      </c>
    </row>
    <row r="24" spans="1:14" ht="13.5" thickBot="1" x14ac:dyDescent="0.25">
      <c r="A24" s="44" t="s">
        <v>125</v>
      </c>
      <c r="B24" s="110"/>
      <c r="C24" s="31">
        <v>0</v>
      </c>
      <c r="D24" s="140">
        <v>0</v>
      </c>
      <c r="E24" s="145">
        <v>1089</v>
      </c>
      <c r="F24" s="145">
        <v>0</v>
      </c>
      <c r="G24" s="145">
        <v>557</v>
      </c>
      <c r="H24" s="145">
        <v>563</v>
      </c>
      <c r="I24" s="145">
        <v>0</v>
      </c>
      <c r="J24" s="145">
        <v>294</v>
      </c>
      <c r="K24" s="145">
        <v>254</v>
      </c>
      <c r="L24" s="145">
        <v>13049</v>
      </c>
      <c r="M24" s="147">
        <v>15377</v>
      </c>
      <c r="N24" s="152">
        <v>3000</v>
      </c>
    </row>
    <row r="25" spans="1:14" ht="13.5" thickBot="1" x14ac:dyDescent="0.25">
      <c r="A25" s="51" t="s">
        <v>59</v>
      </c>
      <c r="B25" s="111" t="s">
        <v>139</v>
      </c>
      <c r="C25" s="90">
        <f>SUM(C11:C24)</f>
        <v>2618250</v>
      </c>
      <c r="D25" s="164">
        <f>SUM(D11:D24)</f>
        <v>2800558</v>
      </c>
      <c r="E25" s="165">
        <f>SUM(E11:E24)</f>
        <v>2682230</v>
      </c>
      <c r="F25" s="165">
        <f t="shared" ref="F25:M25" si="3">SUM(F11:F24)</f>
        <v>2751399</v>
      </c>
      <c r="G25" s="165">
        <f t="shared" si="3"/>
        <v>2717796</v>
      </c>
      <c r="H25" s="165">
        <f t="shared" si="3"/>
        <v>2613866</v>
      </c>
      <c r="I25" s="165">
        <f t="shared" si="3"/>
        <v>2627345</v>
      </c>
      <c r="J25" s="165">
        <f t="shared" si="3"/>
        <v>2605598</v>
      </c>
      <c r="K25" s="165">
        <f t="shared" si="3"/>
        <v>2617549</v>
      </c>
      <c r="L25" s="165">
        <f t="shared" si="3"/>
        <v>2574217</v>
      </c>
      <c r="M25" s="166">
        <f t="shared" si="3"/>
        <v>2449659</v>
      </c>
      <c r="N25" s="159">
        <f>SUM(N11:N24)</f>
        <v>2645300</v>
      </c>
    </row>
    <row r="26" spans="1:14" x14ac:dyDescent="0.2">
      <c r="A26" s="11"/>
      <c r="B26" s="105"/>
      <c r="C26" s="31"/>
      <c r="D26" s="27"/>
      <c r="N26" s="158"/>
    </row>
    <row r="27" spans="1:14" x14ac:dyDescent="0.2">
      <c r="A27" s="121" t="s">
        <v>51</v>
      </c>
      <c r="B27" s="112"/>
      <c r="C27" s="127" t="s">
        <v>112</v>
      </c>
      <c r="D27" s="127" t="s">
        <v>112</v>
      </c>
      <c r="E27" s="127" t="s">
        <v>112</v>
      </c>
      <c r="F27" s="127" t="s">
        <v>112</v>
      </c>
      <c r="G27" s="127" t="s">
        <v>112</v>
      </c>
      <c r="H27" s="127" t="s">
        <v>112</v>
      </c>
      <c r="I27" s="127" t="s">
        <v>112</v>
      </c>
      <c r="J27" s="127" t="s">
        <v>112</v>
      </c>
      <c r="K27" s="127" t="s">
        <v>112</v>
      </c>
      <c r="L27" s="127" t="s">
        <v>112</v>
      </c>
      <c r="M27" s="127" t="s">
        <v>112</v>
      </c>
      <c r="N27" s="112" t="s">
        <v>154</v>
      </c>
    </row>
    <row r="28" spans="1:14" ht="13.5" thickBot="1" x14ac:dyDescent="0.25">
      <c r="A28" s="118" t="s">
        <v>39</v>
      </c>
      <c r="B28" s="112"/>
      <c r="C28" s="127"/>
      <c r="D28" s="127"/>
      <c r="E28" s="127"/>
      <c r="F28" s="127"/>
      <c r="G28" s="127"/>
      <c r="H28" s="127"/>
      <c r="I28" s="127"/>
      <c r="J28" s="127"/>
      <c r="K28" s="127"/>
      <c r="L28" s="127"/>
      <c r="M28" s="127"/>
      <c r="N28" s="112"/>
    </row>
    <row r="29" spans="1:14" x14ac:dyDescent="0.2">
      <c r="A29" s="39" t="s">
        <v>113</v>
      </c>
      <c r="B29" s="108"/>
      <c r="C29" s="31">
        <v>603048</v>
      </c>
      <c r="D29" s="130">
        <v>688338</v>
      </c>
      <c r="E29" s="131">
        <v>648903</v>
      </c>
      <c r="F29" s="132">
        <v>614040</v>
      </c>
      <c r="G29" s="132">
        <v>653621</v>
      </c>
      <c r="H29" s="132">
        <v>689930</v>
      </c>
      <c r="I29" s="132">
        <v>674976</v>
      </c>
      <c r="J29" s="132">
        <v>713469</v>
      </c>
      <c r="K29" s="132">
        <v>679061</v>
      </c>
      <c r="L29" s="132">
        <v>725392</v>
      </c>
      <c r="M29" s="133">
        <v>713623</v>
      </c>
      <c r="N29" s="152">
        <v>765000</v>
      </c>
    </row>
    <row r="30" spans="1:14" x14ac:dyDescent="0.2">
      <c r="A30" s="39" t="s">
        <v>40</v>
      </c>
      <c r="B30" s="108"/>
      <c r="C30" s="31">
        <v>628325</v>
      </c>
      <c r="D30" s="134">
        <v>560021</v>
      </c>
      <c r="E30" s="56">
        <v>591752</v>
      </c>
      <c r="F30" s="126">
        <v>549486</v>
      </c>
      <c r="G30" s="126">
        <v>646455</v>
      </c>
      <c r="H30" s="126">
        <v>676782</v>
      </c>
      <c r="I30" s="126">
        <v>624395</v>
      </c>
      <c r="J30" s="126">
        <v>574541</v>
      </c>
      <c r="K30" s="126">
        <v>529885</v>
      </c>
      <c r="L30" s="126">
        <v>751136</v>
      </c>
      <c r="M30" s="135">
        <v>636446</v>
      </c>
      <c r="N30" s="152">
        <v>614000</v>
      </c>
    </row>
    <row r="31" spans="1:14" x14ac:dyDescent="0.2">
      <c r="A31" s="118" t="s">
        <v>41</v>
      </c>
      <c r="B31" s="112"/>
      <c r="C31" s="112"/>
      <c r="D31" s="136"/>
      <c r="E31" s="127"/>
      <c r="F31" s="127"/>
      <c r="G31" s="127"/>
      <c r="H31" s="127"/>
      <c r="I31" s="127"/>
      <c r="J31" s="127"/>
      <c r="K31" s="127"/>
      <c r="L31" s="127"/>
      <c r="M31" s="137"/>
      <c r="N31" s="154"/>
    </row>
    <row r="32" spans="1:14" x14ac:dyDescent="0.2">
      <c r="A32" s="39" t="s">
        <v>113</v>
      </c>
      <c r="B32" s="108"/>
      <c r="C32" s="31">
        <v>283135</v>
      </c>
      <c r="D32" s="134">
        <v>264436</v>
      </c>
      <c r="E32" s="56">
        <v>269741</v>
      </c>
      <c r="F32" s="126">
        <v>294681</v>
      </c>
      <c r="G32" s="126">
        <v>299443</v>
      </c>
      <c r="H32" s="126">
        <v>305333</v>
      </c>
      <c r="I32" s="126">
        <v>249306</v>
      </c>
      <c r="J32" s="126">
        <v>212088</v>
      </c>
      <c r="K32" s="126">
        <v>206633</v>
      </c>
      <c r="L32" s="126">
        <v>182061</v>
      </c>
      <c r="M32" s="135">
        <v>141089</v>
      </c>
      <c r="N32" s="152">
        <v>284000</v>
      </c>
    </row>
    <row r="33" spans="1:14" x14ac:dyDescent="0.2">
      <c r="A33" s="39" t="s">
        <v>40</v>
      </c>
      <c r="B33" s="108"/>
      <c r="C33" s="31">
        <v>166000</v>
      </c>
      <c r="D33" s="134">
        <v>127562</v>
      </c>
      <c r="E33" s="56">
        <v>162130</v>
      </c>
      <c r="F33" s="126">
        <v>137189</v>
      </c>
      <c r="G33" s="126">
        <v>240321</v>
      </c>
      <c r="H33" s="126">
        <v>89161</v>
      </c>
      <c r="I33" s="126">
        <v>79432</v>
      </c>
      <c r="J33" s="126">
        <v>118534</v>
      </c>
      <c r="K33" s="126">
        <v>99395</v>
      </c>
      <c r="L33" s="126">
        <v>94105</v>
      </c>
      <c r="M33" s="135">
        <v>75317</v>
      </c>
      <c r="N33" s="152">
        <v>122000</v>
      </c>
    </row>
    <row r="34" spans="1:14" x14ac:dyDescent="0.2">
      <c r="A34" s="119" t="s">
        <v>42</v>
      </c>
      <c r="B34" s="112"/>
      <c r="C34" s="112"/>
      <c r="D34" s="136"/>
      <c r="E34" s="127"/>
      <c r="F34" s="127"/>
      <c r="G34" s="127"/>
      <c r="H34" s="127"/>
      <c r="I34" s="127"/>
      <c r="J34" s="127"/>
      <c r="K34" s="127"/>
      <c r="L34" s="127"/>
      <c r="M34" s="137"/>
      <c r="N34" s="154"/>
    </row>
    <row r="35" spans="1:14" x14ac:dyDescent="0.2">
      <c r="A35" s="39" t="s">
        <v>113</v>
      </c>
      <c r="B35" s="93"/>
      <c r="C35" s="31">
        <v>115443</v>
      </c>
      <c r="D35" s="134">
        <v>125531</v>
      </c>
      <c r="E35" s="56">
        <v>135355</v>
      </c>
      <c r="F35" s="126">
        <v>133383</v>
      </c>
      <c r="G35" s="126">
        <v>135979</v>
      </c>
      <c r="H35" s="126">
        <v>137355</v>
      </c>
      <c r="I35" s="126">
        <v>135112</v>
      </c>
      <c r="J35" s="126">
        <v>136381</v>
      </c>
      <c r="K35" s="126">
        <v>146837</v>
      </c>
      <c r="L35" s="126">
        <v>150019</v>
      </c>
      <c r="M35" s="135">
        <v>153262</v>
      </c>
      <c r="N35" s="152">
        <v>139000</v>
      </c>
    </row>
    <row r="36" spans="1:14" x14ac:dyDescent="0.2">
      <c r="A36" s="39" t="s">
        <v>40</v>
      </c>
      <c r="B36" s="93"/>
      <c r="C36" s="31">
        <v>32000</v>
      </c>
      <c r="D36" s="134">
        <v>31045</v>
      </c>
      <c r="E36" s="56">
        <v>41734</v>
      </c>
      <c r="F36" s="126">
        <v>37926</v>
      </c>
      <c r="G36" s="126">
        <v>44865</v>
      </c>
      <c r="H36" s="126">
        <v>39193</v>
      </c>
      <c r="I36" s="126">
        <v>86947</v>
      </c>
      <c r="J36" s="126">
        <v>48176</v>
      </c>
      <c r="K36" s="126">
        <v>47745</v>
      </c>
      <c r="L36" s="126">
        <v>42470</v>
      </c>
      <c r="M36" s="135">
        <v>43321</v>
      </c>
      <c r="N36" s="152">
        <v>46000</v>
      </c>
    </row>
    <row r="37" spans="1:14" x14ac:dyDescent="0.2">
      <c r="A37" s="118" t="s">
        <v>43</v>
      </c>
      <c r="B37" s="112"/>
      <c r="C37" s="112"/>
      <c r="D37" s="136"/>
      <c r="E37" s="127"/>
      <c r="F37" s="127"/>
      <c r="G37" s="127"/>
      <c r="H37" s="127"/>
      <c r="I37" s="127"/>
      <c r="J37" s="127"/>
      <c r="K37" s="127"/>
      <c r="L37" s="127"/>
      <c r="M37" s="137"/>
      <c r="N37" s="154"/>
    </row>
    <row r="38" spans="1:14" x14ac:dyDescent="0.2">
      <c r="A38" s="39" t="s">
        <v>44</v>
      </c>
      <c r="B38" s="93"/>
      <c r="C38" s="31">
        <v>0</v>
      </c>
      <c r="D38" s="134">
        <v>0</v>
      </c>
      <c r="E38" s="56"/>
      <c r="F38" s="138"/>
      <c r="G38" s="138"/>
      <c r="H38" s="138"/>
      <c r="I38" s="138"/>
      <c r="J38" s="138"/>
      <c r="K38" s="138"/>
      <c r="L38" s="138"/>
      <c r="M38" s="139"/>
      <c r="N38" s="153"/>
    </row>
    <row r="39" spans="1:14" x14ac:dyDescent="0.2">
      <c r="A39" s="39" t="s">
        <v>54</v>
      </c>
      <c r="B39" s="93"/>
      <c r="C39" s="31">
        <v>758877</v>
      </c>
      <c r="D39" s="134">
        <v>473491</v>
      </c>
      <c r="E39" s="56">
        <v>473491</v>
      </c>
      <c r="F39" s="126">
        <v>473491</v>
      </c>
      <c r="G39" s="126">
        <v>473491</v>
      </c>
      <c r="H39" s="126">
        <v>473491</v>
      </c>
      <c r="I39" s="126">
        <v>473491</v>
      </c>
      <c r="J39" s="126">
        <v>473491</v>
      </c>
      <c r="K39" s="126">
        <v>473491</v>
      </c>
      <c r="L39" s="126">
        <v>473491</v>
      </c>
      <c r="M39" s="135">
        <v>473491</v>
      </c>
      <c r="N39" s="152">
        <v>473491</v>
      </c>
    </row>
    <row r="40" spans="1:14" x14ac:dyDescent="0.2">
      <c r="A40" s="39" t="s">
        <v>45</v>
      </c>
      <c r="B40" s="93"/>
      <c r="C40" s="31">
        <v>8325</v>
      </c>
      <c r="D40" s="134">
        <v>8325</v>
      </c>
      <c r="E40" s="56">
        <v>8325</v>
      </c>
      <c r="F40" s="126">
        <v>8325</v>
      </c>
      <c r="G40" s="126">
        <v>8325</v>
      </c>
      <c r="H40" s="126">
        <v>8325</v>
      </c>
      <c r="I40" s="126">
        <v>8325</v>
      </c>
      <c r="J40" s="126">
        <v>8325</v>
      </c>
      <c r="K40" s="126">
        <v>4163</v>
      </c>
      <c r="L40" s="126">
        <v>8325</v>
      </c>
      <c r="M40" s="135">
        <v>8325</v>
      </c>
      <c r="N40" s="152">
        <v>8325</v>
      </c>
    </row>
    <row r="41" spans="1:14" x14ac:dyDescent="0.2">
      <c r="A41" s="39" t="s">
        <v>114</v>
      </c>
      <c r="B41" s="93"/>
      <c r="C41" s="31">
        <v>40000</v>
      </c>
      <c r="D41" s="134">
        <v>80000</v>
      </c>
      <c r="E41" s="56">
        <v>20000</v>
      </c>
      <c r="F41" s="126">
        <v>40000</v>
      </c>
      <c r="G41" s="126">
        <v>40000</v>
      </c>
      <c r="H41" s="126">
        <v>40000</v>
      </c>
      <c r="I41" s="126">
        <v>40000</v>
      </c>
      <c r="J41" s="126">
        <v>40000</v>
      </c>
      <c r="K41" s="126">
        <v>40000</v>
      </c>
      <c r="L41" s="126">
        <v>40000</v>
      </c>
      <c r="M41" s="135">
        <v>40000</v>
      </c>
      <c r="N41" s="152">
        <v>40000</v>
      </c>
    </row>
    <row r="42" spans="1:14" x14ac:dyDescent="0.2">
      <c r="A42" s="39" t="s">
        <v>115</v>
      </c>
      <c r="B42" s="93"/>
      <c r="C42" s="31">
        <v>207576</v>
      </c>
      <c r="D42" s="134">
        <v>241000</v>
      </c>
      <c r="E42" s="56">
        <v>265000</v>
      </c>
      <c r="F42" s="126">
        <v>265000</v>
      </c>
      <c r="G42" s="126">
        <v>302000</v>
      </c>
      <c r="H42" s="126">
        <v>302000</v>
      </c>
      <c r="I42" s="126">
        <v>285000</v>
      </c>
      <c r="J42" s="126">
        <v>314000</v>
      </c>
      <c r="K42" s="126">
        <v>290266</v>
      </c>
      <c r="L42" s="126">
        <v>261800</v>
      </c>
      <c r="M42" s="135">
        <v>298502</v>
      </c>
      <c r="N42" s="152">
        <v>282000</v>
      </c>
    </row>
    <row r="43" spans="1:14" x14ac:dyDescent="0.2">
      <c r="A43" s="39" t="s">
        <v>46</v>
      </c>
      <c r="B43" s="93"/>
      <c r="C43" s="31">
        <v>240000</v>
      </c>
      <c r="D43" s="134">
        <v>120000</v>
      </c>
      <c r="E43" s="56">
        <v>120000</v>
      </c>
      <c r="F43" s="126">
        <v>120000</v>
      </c>
      <c r="G43" s="126">
        <v>0</v>
      </c>
      <c r="H43" s="126">
        <v>0</v>
      </c>
      <c r="I43" s="126">
        <v>0</v>
      </c>
      <c r="J43" s="126">
        <v>0</v>
      </c>
      <c r="K43" s="126">
        <v>0</v>
      </c>
      <c r="L43" s="126">
        <v>0</v>
      </c>
      <c r="M43" s="135">
        <v>0</v>
      </c>
      <c r="N43" s="152">
        <v>0</v>
      </c>
    </row>
    <row r="44" spans="1:14" x14ac:dyDescent="0.2">
      <c r="A44" s="39" t="s">
        <v>47</v>
      </c>
      <c r="B44" s="93"/>
      <c r="C44" s="31">
        <v>37560</v>
      </c>
      <c r="D44" s="134">
        <v>22950</v>
      </c>
      <c r="E44" s="56">
        <v>15300</v>
      </c>
      <c r="F44" s="126">
        <v>7650</v>
      </c>
      <c r="G44" s="126">
        <v>0</v>
      </c>
      <c r="H44" s="126">
        <v>0</v>
      </c>
      <c r="I44" s="126">
        <v>0</v>
      </c>
      <c r="J44" s="126">
        <v>0</v>
      </c>
      <c r="K44" s="126">
        <v>0</v>
      </c>
      <c r="L44" s="126">
        <v>0</v>
      </c>
      <c r="M44" s="135">
        <v>0</v>
      </c>
      <c r="N44" s="152">
        <v>0</v>
      </c>
    </row>
    <row r="45" spans="1:14" x14ac:dyDescent="0.2">
      <c r="A45" s="39" t="s">
        <v>126</v>
      </c>
      <c r="B45" s="93"/>
      <c r="C45" s="31">
        <v>0</v>
      </c>
      <c r="D45" s="134">
        <v>0</v>
      </c>
      <c r="E45" s="56">
        <v>0</v>
      </c>
      <c r="F45" s="126">
        <v>0</v>
      </c>
      <c r="G45" s="126">
        <v>0</v>
      </c>
      <c r="H45" s="126">
        <v>0</v>
      </c>
      <c r="I45" s="126">
        <v>0</v>
      </c>
      <c r="J45" s="126">
        <v>6108</v>
      </c>
      <c r="K45" s="126">
        <v>9107</v>
      </c>
      <c r="L45" s="126">
        <v>6500</v>
      </c>
      <c r="M45" s="135">
        <v>7717</v>
      </c>
      <c r="N45" s="152">
        <v>3000</v>
      </c>
    </row>
    <row r="46" spans="1:14" x14ac:dyDescent="0.2">
      <c r="A46" s="118" t="s">
        <v>48</v>
      </c>
      <c r="B46" s="112"/>
      <c r="C46" s="112"/>
      <c r="D46" s="136"/>
      <c r="E46" s="127"/>
      <c r="F46" s="127"/>
      <c r="G46" s="127"/>
      <c r="H46" s="127"/>
      <c r="I46" s="127"/>
      <c r="J46" s="127"/>
      <c r="K46" s="127"/>
      <c r="L46" s="127"/>
      <c r="M46" s="137"/>
      <c r="N46" s="154"/>
    </row>
    <row r="47" spans="1:14" x14ac:dyDescent="0.2">
      <c r="A47" s="39" t="s">
        <v>146</v>
      </c>
      <c r="B47" s="93"/>
      <c r="C47" s="31">
        <v>1300</v>
      </c>
      <c r="D47" s="134">
        <v>906</v>
      </c>
      <c r="E47" s="56">
        <v>1753</v>
      </c>
      <c r="F47" s="126">
        <v>607</v>
      </c>
      <c r="G47" s="126">
        <v>2</v>
      </c>
      <c r="H47" s="126">
        <v>55</v>
      </c>
      <c r="I47" s="126">
        <v>209</v>
      </c>
      <c r="J47" s="126">
        <v>1141</v>
      </c>
      <c r="K47" s="126">
        <v>167</v>
      </c>
      <c r="L47" s="126">
        <v>187</v>
      </c>
      <c r="M47" s="135">
        <v>727</v>
      </c>
      <c r="N47" s="152">
        <v>600</v>
      </c>
    </row>
    <row r="48" spans="1:14" x14ac:dyDescent="0.2">
      <c r="A48" s="119" t="s">
        <v>155</v>
      </c>
      <c r="B48" s="112"/>
      <c r="C48" s="112"/>
      <c r="D48" s="136"/>
      <c r="E48" s="127"/>
      <c r="F48" s="127"/>
      <c r="G48" s="127"/>
      <c r="H48" s="127"/>
      <c r="I48" s="127"/>
      <c r="J48" s="127"/>
      <c r="K48" s="127"/>
      <c r="L48" s="127"/>
      <c r="M48" s="137"/>
      <c r="N48" s="154"/>
    </row>
    <row r="49" spans="1:16" x14ac:dyDescent="0.2">
      <c r="A49" s="39"/>
      <c r="B49" s="93"/>
      <c r="C49" s="31"/>
      <c r="D49" s="134" t="s">
        <v>96</v>
      </c>
      <c r="E49" s="56" t="s">
        <v>96</v>
      </c>
      <c r="F49" s="56" t="s">
        <v>96</v>
      </c>
      <c r="G49" s="56" t="s">
        <v>96</v>
      </c>
      <c r="H49" s="56" t="s">
        <v>96</v>
      </c>
      <c r="I49" s="56" t="s">
        <v>96</v>
      </c>
      <c r="J49" s="56" t="s">
        <v>96</v>
      </c>
      <c r="K49" s="56" t="s">
        <v>96</v>
      </c>
      <c r="L49" s="56" t="s">
        <v>96</v>
      </c>
      <c r="M49" s="135" t="s">
        <v>96</v>
      </c>
      <c r="N49" s="152" t="s">
        <v>96</v>
      </c>
    </row>
    <row r="50" spans="1:16" x14ac:dyDescent="0.2">
      <c r="A50" s="39"/>
      <c r="B50" s="93"/>
      <c r="C50" s="31"/>
      <c r="D50" s="134" t="s">
        <v>96</v>
      </c>
      <c r="E50" s="56" t="s">
        <v>96</v>
      </c>
      <c r="F50" s="56" t="s">
        <v>96</v>
      </c>
      <c r="G50" s="56" t="s">
        <v>96</v>
      </c>
      <c r="H50" s="56" t="s">
        <v>96</v>
      </c>
      <c r="I50" s="56" t="s">
        <v>96</v>
      </c>
      <c r="J50" s="56" t="s">
        <v>96</v>
      </c>
      <c r="K50" s="56" t="s">
        <v>96</v>
      </c>
      <c r="L50" s="56" t="s">
        <v>96</v>
      </c>
      <c r="M50" s="135" t="s">
        <v>96</v>
      </c>
      <c r="N50" s="152"/>
    </row>
    <row r="51" spans="1:16" x14ac:dyDescent="0.2">
      <c r="A51" s="119" t="s">
        <v>156</v>
      </c>
      <c r="B51" s="112"/>
      <c r="C51" s="112"/>
      <c r="D51" s="136"/>
      <c r="E51" s="127"/>
      <c r="F51" s="127"/>
      <c r="G51" s="127"/>
      <c r="H51" s="127"/>
      <c r="I51" s="127"/>
      <c r="J51" s="127"/>
      <c r="K51" s="127"/>
      <c r="L51" s="127"/>
      <c r="M51" s="137"/>
      <c r="N51" s="154"/>
    </row>
    <row r="52" spans="1:16" x14ac:dyDescent="0.2">
      <c r="A52" s="39" t="s">
        <v>157</v>
      </c>
      <c r="B52" s="93"/>
      <c r="C52" s="31"/>
      <c r="D52" s="134" t="s">
        <v>96</v>
      </c>
      <c r="E52" s="56" t="s">
        <v>96</v>
      </c>
      <c r="F52" s="56" t="s">
        <v>96</v>
      </c>
      <c r="G52" s="56" t="s">
        <v>96</v>
      </c>
      <c r="H52" s="56" t="s">
        <v>96</v>
      </c>
      <c r="I52" s="56" t="s">
        <v>96</v>
      </c>
      <c r="J52" s="56" t="s">
        <v>96</v>
      </c>
      <c r="K52" s="56" t="s">
        <v>96</v>
      </c>
      <c r="L52" s="56" t="s">
        <v>96</v>
      </c>
      <c r="M52" s="135" t="s">
        <v>96</v>
      </c>
      <c r="N52" s="152" t="s">
        <v>96</v>
      </c>
      <c r="P52" s="167">
        <v>75000</v>
      </c>
    </row>
    <row r="53" spans="1:16" ht="13.5" thickBot="1" x14ac:dyDescent="0.25">
      <c r="A53" s="49"/>
      <c r="B53" s="38"/>
      <c r="C53" s="31"/>
      <c r="D53" s="140" t="s">
        <v>96</v>
      </c>
      <c r="E53" s="141" t="s">
        <v>96</v>
      </c>
      <c r="F53" s="141" t="s">
        <v>96</v>
      </c>
      <c r="G53" s="141" t="s">
        <v>96</v>
      </c>
      <c r="H53" s="141" t="s">
        <v>96</v>
      </c>
      <c r="I53" s="141" t="s">
        <v>96</v>
      </c>
      <c r="J53" s="141" t="s">
        <v>96</v>
      </c>
      <c r="K53" s="141" t="s">
        <v>96</v>
      </c>
      <c r="L53" s="141" t="s">
        <v>96</v>
      </c>
      <c r="M53" s="142" t="s">
        <v>96</v>
      </c>
      <c r="N53" s="153" t="s">
        <v>96</v>
      </c>
    </row>
    <row r="54" spans="1:16" x14ac:dyDescent="0.2">
      <c r="A54" s="21" t="s">
        <v>60</v>
      </c>
      <c r="B54" s="94"/>
      <c r="C54" s="91">
        <f t="shared" ref="C54:M54" si="4">SUM(C29:C53)</f>
        <v>3121589</v>
      </c>
      <c r="D54" s="129">
        <f t="shared" si="4"/>
        <v>2743605</v>
      </c>
      <c r="E54" s="129">
        <f t="shared" si="4"/>
        <v>2753484</v>
      </c>
      <c r="F54" s="129">
        <f t="shared" si="4"/>
        <v>2681778</v>
      </c>
      <c r="G54" s="129">
        <f t="shared" si="4"/>
        <v>2844502</v>
      </c>
      <c r="H54" s="129">
        <f t="shared" si="4"/>
        <v>2761625</v>
      </c>
      <c r="I54" s="129">
        <f t="shared" si="4"/>
        <v>2657193</v>
      </c>
      <c r="J54" s="129">
        <f t="shared" si="4"/>
        <v>2646254</v>
      </c>
      <c r="K54" s="129">
        <f t="shared" si="4"/>
        <v>2526750</v>
      </c>
      <c r="L54" s="129">
        <f t="shared" si="4"/>
        <v>2735486</v>
      </c>
      <c r="M54" s="129">
        <f t="shared" si="4"/>
        <v>2591820</v>
      </c>
      <c r="N54" s="155">
        <f>SUM(N29:N53)</f>
        <v>2777416</v>
      </c>
    </row>
    <row r="55" spans="1:16" x14ac:dyDescent="0.2">
      <c r="A55" s="11"/>
      <c r="B55" s="105"/>
      <c r="C55" s="31"/>
      <c r="D55" s="27"/>
      <c r="N55" s="158"/>
      <c r="O55" s="168"/>
    </row>
    <row r="56" spans="1:16" ht="13.5" thickBot="1" x14ac:dyDescent="0.25">
      <c r="A56" s="113" t="s">
        <v>87</v>
      </c>
      <c r="B56" s="114"/>
      <c r="C56" s="122"/>
      <c r="D56" s="122"/>
      <c r="E56" s="123"/>
      <c r="F56" s="123"/>
      <c r="G56" s="123"/>
      <c r="H56" s="123"/>
      <c r="I56" s="123"/>
      <c r="J56" s="123"/>
      <c r="K56" s="123"/>
      <c r="L56" s="123"/>
      <c r="M56" s="123"/>
      <c r="N56" s="123"/>
      <c r="O56" s="123"/>
    </row>
    <row r="57" spans="1:16" x14ac:dyDescent="0.2">
      <c r="A57" s="22" t="s">
        <v>82</v>
      </c>
      <c r="B57" s="32" t="s">
        <v>142</v>
      </c>
      <c r="C57" s="31">
        <v>687253.87</v>
      </c>
      <c r="D57" s="31">
        <f>C60</f>
        <v>183914.87000000011</v>
      </c>
      <c r="E57" s="31">
        <f>D60</f>
        <v>240867.87000000011</v>
      </c>
      <c r="F57" s="31">
        <f t="shared" ref="F57:H57" si="5">E60</f>
        <v>169613.87000000011</v>
      </c>
      <c r="G57" s="31">
        <f t="shared" si="5"/>
        <v>239234.87000000011</v>
      </c>
      <c r="H57" s="31">
        <f t="shared" si="5"/>
        <v>112528.87000000011</v>
      </c>
      <c r="I57" s="130">
        <v>508460.37</v>
      </c>
      <c r="J57" s="131">
        <v>469886.1</v>
      </c>
      <c r="K57" s="131">
        <v>429226.88</v>
      </c>
      <c r="L57" s="132">
        <v>529143.37</v>
      </c>
      <c r="M57" s="143">
        <v>368653.28</v>
      </c>
    </row>
    <row r="58" spans="1:16" x14ac:dyDescent="0.2">
      <c r="A58" s="22" t="s">
        <v>86</v>
      </c>
      <c r="B58" s="32" t="s">
        <v>143</v>
      </c>
      <c r="C58" s="31">
        <f t="shared" ref="C58:H58" si="6">C25</f>
        <v>2618250</v>
      </c>
      <c r="D58" s="56">
        <f t="shared" si="6"/>
        <v>2800558</v>
      </c>
      <c r="E58" s="56">
        <f t="shared" si="6"/>
        <v>2682230</v>
      </c>
      <c r="F58" s="56">
        <f t="shared" si="6"/>
        <v>2751399</v>
      </c>
      <c r="G58" s="56">
        <f t="shared" si="6"/>
        <v>2717796</v>
      </c>
      <c r="H58" s="56">
        <f t="shared" si="6"/>
        <v>2613866</v>
      </c>
      <c r="I58" s="134">
        <v>2627345.67</v>
      </c>
      <c r="J58" s="56">
        <v>2605596.08</v>
      </c>
      <c r="K58" s="56">
        <v>2617561.88</v>
      </c>
      <c r="L58" s="126">
        <v>2574997.4</v>
      </c>
      <c r="M58" s="144">
        <v>2449660.61</v>
      </c>
    </row>
    <row r="59" spans="1:16" ht="13.5" thickBot="1" x14ac:dyDescent="0.25">
      <c r="A59" s="22" t="s">
        <v>83</v>
      </c>
      <c r="B59" s="32" t="s">
        <v>144</v>
      </c>
      <c r="C59" s="31">
        <f t="shared" ref="C59:H59" si="7">C54</f>
        <v>3121589</v>
      </c>
      <c r="D59" s="56">
        <f t="shared" si="7"/>
        <v>2743605</v>
      </c>
      <c r="E59" s="56">
        <f t="shared" si="7"/>
        <v>2753484</v>
      </c>
      <c r="F59" s="56">
        <f t="shared" si="7"/>
        <v>2681778</v>
      </c>
      <c r="G59" s="56">
        <f t="shared" si="7"/>
        <v>2844502</v>
      </c>
      <c r="H59" s="56">
        <f t="shared" si="7"/>
        <v>2761625</v>
      </c>
      <c r="I59" s="140">
        <v>2665919.94</v>
      </c>
      <c r="J59" s="145">
        <v>2646255.2999999998</v>
      </c>
      <c r="K59" s="145">
        <v>2517645.39</v>
      </c>
      <c r="L59" s="146">
        <v>2735487.49</v>
      </c>
      <c r="M59" s="147">
        <v>2591820.4300000002</v>
      </c>
    </row>
    <row r="60" spans="1:16" ht="13.5" thickBot="1" x14ac:dyDescent="0.25">
      <c r="A60" s="22" t="s">
        <v>84</v>
      </c>
      <c r="B60" s="32" t="s">
        <v>145</v>
      </c>
      <c r="C60" s="31">
        <f t="shared" ref="C60:H60" si="8">C57+C58-C59</f>
        <v>183914.87000000011</v>
      </c>
      <c r="D60" s="31">
        <f t="shared" si="8"/>
        <v>240867.87000000011</v>
      </c>
      <c r="E60" s="31">
        <f t="shared" si="8"/>
        <v>169613.87000000011</v>
      </c>
      <c r="F60" s="31">
        <f t="shared" si="8"/>
        <v>239234.87000000011</v>
      </c>
      <c r="G60" s="31">
        <f t="shared" si="8"/>
        <v>112528.87000000011</v>
      </c>
      <c r="H60" s="31">
        <f t="shared" si="8"/>
        <v>-35230.129999999888</v>
      </c>
      <c r="I60" s="56">
        <f>I57+I58-I59</f>
        <v>469886.10000000009</v>
      </c>
      <c r="J60" s="56">
        <f t="shared" ref="J60:M60" si="9">J57+J58-J59</f>
        <v>429226.88000000035</v>
      </c>
      <c r="K60" s="56">
        <f t="shared" si="9"/>
        <v>529143.36999999965</v>
      </c>
      <c r="L60" s="126">
        <f t="shared" si="9"/>
        <v>368653.2799999998</v>
      </c>
      <c r="M60" s="56">
        <f t="shared" si="9"/>
        <v>226493.4599999995</v>
      </c>
      <c r="N60" s="128"/>
    </row>
    <row r="61" spans="1:16" x14ac:dyDescent="0.2">
      <c r="A61" s="22" t="s">
        <v>116</v>
      </c>
      <c r="B61" s="32"/>
      <c r="C61" s="31">
        <v>95040.26</v>
      </c>
      <c r="D61" s="31">
        <v>16474.689999999999</v>
      </c>
      <c r="E61" s="31">
        <v>0</v>
      </c>
      <c r="F61" s="31">
        <v>0</v>
      </c>
      <c r="G61" s="31">
        <v>0</v>
      </c>
      <c r="H61" s="31">
        <v>0</v>
      </c>
      <c r="I61" s="130">
        <v>78159.429999999993</v>
      </c>
      <c r="J61" s="131">
        <v>31609.48</v>
      </c>
      <c r="K61" s="131">
        <v>144997.06</v>
      </c>
      <c r="L61" s="132">
        <v>150825.94</v>
      </c>
      <c r="M61" s="143">
        <v>42770.38</v>
      </c>
    </row>
    <row r="62" spans="1:16" ht="13.5" thickBot="1" x14ac:dyDescent="0.25">
      <c r="A62" s="22" t="s">
        <v>85</v>
      </c>
      <c r="B62" s="32"/>
      <c r="C62" s="31">
        <f t="shared" ref="C62:H62" si="10">C60-C61</f>
        <v>88874.610000000117</v>
      </c>
      <c r="D62" s="31">
        <f t="shared" si="10"/>
        <v>224393.18000000011</v>
      </c>
      <c r="E62" s="31">
        <f t="shared" si="10"/>
        <v>169613.87000000011</v>
      </c>
      <c r="F62" s="31">
        <f t="shared" si="10"/>
        <v>239234.87000000011</v>
      </c>
      <c r="G62" s="31">
        <f t="shared" si="10"/>
        <v>112528.87000000011</v>
      </c>
      <c r="H62" s="31">
        <f t="shared" si="10"/>
        <v>-35230.129999999888</v>
      </c>
      <c r="I62" s="140">
        <f>I60-I61</f>
        <v>391726.6700000001</v>
      </c>
      <c r="J62" s="145">
        <f t="shared" ref="J62:M62" si="11">J60-J61</f>
        <v>397617.40000000037</v>
      </c>
      <c r="K62" s="145">
        <f t="shared" si="11"/>
        <v>384146.30999999965</v>
      </c>
      <c r="L62" s="146">
        <f t="shared" si="11"/>
        <v>217827.33999999979</v>
      </c>
      <c r="M62" s="147">
        <f t="shared" si="11"/>
        <v>183723.07999999949</v>
      </c>
    </row>
    <row r="63" spans="1:16" x14ac:dyDescent="0.2">
      <c r="A63" s="32"/>
      <c r="B63" s="32"/>
      <c r="C63" s="31"/>
      <c r="D63" s="31"/>
      <c r="E63" s="31"/>
      <c r="F63" s="31"/>
      <c r="G63" s="31"/>
      <c r="H63" s="31"/>
      <c r="I63" s="56"/>
      <c r="J63" s="56"/>
      <c r="K63" s="56"/>
      <c r="L63" s="126"/>
      <c r="M63" s="56"/>
    </row>
    <row r="64" spans="1:16" x14ac:dyDescent="0.2">
      <c r="A64" s="32"/>
      <c r="B64" s="32"/>
      <c r="C64" s="31"/>
      <c r="D64" s="31"/>
      <c r="E64" s="31"/>
      <c r="F64" s="31"/>
      <c r="G64" s="31"/>
      <c r="H64" s="31"/>
      <c r="I64" s="56"/>
      <c r="J64" s="56"/>
      <c r="K64" s="56"/>
      <c r="L64" s="126"/>
      <c r="M64" s="56"/>
    </row>
    <row r="65" spans="1:15" x14ac:dyDescent="0.2">
      <c r="A65" s="32"/>
      <c r="B65" s="32"/>
      <c r="C65" s="31"/>
      <c r="D65" s="31"/>
      <c r="E65" s="31"/>
      <c r="F65" s="31"/>
      <c r="G65" s="31"/>
      <c r="H65" s="31"/>
      <c r="I65" s="56"/>
      <c r="J65" s="56"/>
      <c r="K65" s="56"/>
      <c r="L65" s="126"/>
      <c r="M65" s="56"/>
    </row>
    <row r="66" spans="1:15" x14ac:dyDescent="0.2">
      <c r="A66" s="32"/>
      <c r="B66" s="32"/>
      <c r="C66" s="31"/>
      <c r="D66" s="31"/>
      <c r="E66" s="31"/>
      <c r="F66" s="31"/>
      <c r="G66" s="31"/>
      <c r="H66" s="31"/>
      <c r="I66" s="56"/>
      <c r="J66" s="56"/>
      <c r="K66" s="56"/>
      <c r="L66" s="126"/>
      <c r="M66" s="56"/>
    </row>
    <row r="67" spans="1:15" x14ac:dyDescent="0.2">
      <c r="A67" s="112"/>
      <c r="B67" s="112"/>
      <c r="C67" s="112"/>
      <c r="D67" s="112"/>
      <c r="E67" s="112"/>
      <c r="F67" s="112"/>
      <c r="G67" s="112"/>
      <c r="H67" s="112"/>
      <c r="I67" s="112"/>
      <c r="J67" s="112"/>
      <c r="K67" s="112"/>
      <c r="L67" s="112"/>
      <c r="M67" s="112"/>
      <c r="N67" s="112"/>
      <c r="O67" s="112"/>
    </row>
    <row r="68" spans="1:15" x14ac:dyDescent="0.2">
      <c r="A68" s="22" t="s">
        <v>149</v>
      </c>
      <c r="B68" s="32"/>
      <c r="C68" s="31">
        <f t="shared" ref="C68" si="12">+C25-C54</f>
        <v>-503339</v>
      </c>
      <c r="D68" s="56">
        <f>D25-D54</f>
        <v>56953</v>
      </c>
      <c r="E68" s="56">
        <f t="shared" ref="E68:M68" si="13">E25-E54</f>
        <v>-71254</v>
      </c>
      <c r="F68" s="56">
        <f t="shared" si="13"/>
        <v>69621</v>
      </c>
      <c r="G68" s="56">
        <f t="shared" si="13"/>
        <v>-126706</v>
      </c>
      <c r="H68" s="56">
        <f t="shared" si="13"/>
        <v>-147759</v>
      </c>
      <c r="I68" s="56">
        <f t="shared" si="13"/>
        <v>-29848</v>
      </c>
      <c r="J68" s="56">
        <f t="shared" si="13"/>
        <v>-40656</v>
      </c>
      <c r="K68" s="56">
        <f t="shared" si="13"/>
        <v>90799</v>
      </c>
      <c r="L68" s="56">
        <f t="shared" si="13"/>
        <v>-161269</v>
      </c>
      <c r="M68" s="56">
        <f t="shared" si="13"/>
        <v>-142161</v>
      </c>
      <c r="N68" s="157" t="e">
        <f>#REF!-#REF!</f>
        <v>#REF!</v>
      </c>
      <c r="O68" s="156" t="e">
        <f>#REF!-N54</f>
        <v>#REF!</v>
      </c>
    </row>
    <row r="69" spans="1:15" x14ac:dyDescent="0.2">
      <c r="A69" s="22" t="s">
        <v>61</v>
      </c>
      <c r="B69" s="32"/>
      <c r="C69" s="31">
        <v>687253.87</v>
      </c>
      <c r="D69" s="31">
        <f>+C77</f>
        <v>183914.87</v>
      </c>
      <c r="E69" s="31">
        <f t="shared" ref="E69" si="14">+D77</f>
        <v>240867.87</v>
      </c>
      <c r="F69" s="31">
        <f t="shared" ref="F69" si="15">+E77</f>
        <v>169613.87</v>
      </c>
      <c r="G69" s="31">
        <f t="shared" ref="G69" si="16">+F77</f>
        <v>239234.87</v>
      </c>
      <c r="H69" s="31">
        <f t="shared" ref="H69" si="17">+G77</f>
        <v>112528.87</v>
      </c>
      <c r="I69" s="31">
        <f t="shared" ref="I69" si="18">+H77</f>
        <v>-35230.130000000005</v>
      </c>
      <c r="J69" s="31">
        <f t="shared" ref="J69" si="19">+I77</f>
        <v>-65078.130000000005</v>
      </c>
      <c r="K69" s="31">
        <f t="shared" ref="K69" si="20">+J77</f>
        <v>-105734.13</v>
      </c>
      <c r="L69" s="31">
        <f t="shared" ref="L69" si="21">+K77</f>
        <v>-14935.130000000005</v>
      </c>
      <c r="M69" s="31">
        <f t="shared" ref="M69" si="22">+L77</f>
        <v>-176204.13</v>
      </c>
      <c r="N69" s="157">
        <f t="shared" ref="N69" si="23">+M77</f>
        <v>-318365.13</v>
      </c>
      <c r="O69" s="156" t="e">
        <f t="shared" ref="O69" si="24">+N77</f>
        <v>#REF!</v>
      </c>
    </row>
    <row r="70" spans="1:15" x14ac:dyDescent="0.2">
      <c r="A70" s="22" t="s">
        <v>150</v>
      </c>
      <c r="B70" s="32"/>
      <c r="C70" s="31">
        <f t="shared" ref="C70:D70" si="25">SUM(C68:C69)</f>
        <v>183914.87</v>
      </c>
      <c r="D70" s="31">
        <f t="shared" si="25"/>
        <v>240867.87</v>
      </c>
      <c r="E70" s="31">
        <f t="shared" ref="E70:O70" si="26">SUM(E68:E69)</f>
        <v>169613.87</v>
      </c>
      <c r="F70" s="31">
        <f t="shared" si="26"/>
        <v>239234.87</v>
      </c>
      <c r="G70" s="31">
        <f t="shared" si="26"/>
        <v>112528.87</v>
      </c>
      <c r="H70" s="31">
        <f t="shared" si="26"/>
        <v>-35230.130000000005</v>
      </c>
      <c r="I70" s="31">
        <f t="shared" si="26"/>
        <v>-65078.130000000005</v>
      </c>
      <c r="J70" s="31">
        <f t="shared" si="26"/>
        <v>-105734.13</v>
      </c>
      <c r="K70" s="31">
        <f t="shared" si="26"/>
        <v>-14935.130000000005</v>
      </c>
      <c r="L70" s="31">
        <f t="shared" si="26"/>
        <v>-176204.13</v>
      </c>
      <c r="M70" s="31">
        <f t="shared" si="26"/>
        <v>-318365.13</v>
      </c>
      <c r="N70" s="157" t="e">
        <f t="shared" si="26"/>
        <v>#REF!</v>
      </c>
      <c r="O70" s="156" t="e">
        <f t="shared" si="26"/>
        <v>#REF!</v>
      </c>
    </row>
    <row r="71" spans="1:15" x14ac:dyDescent="0.2">
      <c r="A71" s="22" t="s">
        <v>148</v>
      </c>
      <c r="B71" s="32"/>
      <c r="C71" s="77">
        <f t="shared" ref="C71:N71" si="27">+C60</f>
        <v>183914.87000000011</v>
      </c>
      <c r="D71" s="77">
        <f t="shared" si="27"/>
        <v>240867.87000000011</v>
      </c>
      <c r="E71" s="77">
        <f t="shared" si="27"/>
        <v>169613.87000000011</v>
      </c>
      <c r="F71" s="77">
        <f t="shared" si="27"/>
        <v>239234.87000000011</v>
      </c>
      <c r="G71" s="77">
        <f t="shared" si="27"/>
        <v>112528.87000000011</v>
      </c>
      <c r="H71" s="77">
        <f t="shared" si="27"/>
        <v>-35230.129999999888</v>
      </c>
      <c r="I71" s="77">
        <f t="shared" si="27"/>
        <v>469886.10000000009</v>
      </c>
      <c r="J71" s="77">
        <f t="shared" si="27"/>
        <v>429226.88000000035</v>
      </c>
      <c r="K71" s="77">
        <f t="shared" si="27"/>
        <v>529143.36999999965</v>
      </c>
      <c r="L71" s="77">
        <f t="shared" si="27"/>
        <v>368653.2799999998</v>
      </c>
      <c r="M71" s="77">
        <f t="shared" si="27"/>
        <v>226493.4599999995</v>
      </c>
      <c r="N71" s="157">
        <f t="shared" si="27"/>
        <v>0</v>
      </c>
      <c r="O71" s="153"/>
    </row>
    <row r="72" spans="1:15" ht="25.5" x14ac:dyDescent="0.2">
      <c r="A72" s="113" t="s">
        <v>92</v>
      </c>
      <c r="B72" s="114"/>
      <c r="C72" s="115"/>
      <c r="D72" s="116">
        <f t="shared" ref="D72:F72" si="28">+((D74+D75+D76)/2)+(D54/4)</f>
        <v>685901.25</v>
      </c>
      <c r="E72" s="116">
        <f t="shared" si="28"/>
        <v>688371</v>
      </c>
      <c r="F72" s="116">
        <f t="shared" si="28"/>
        <v>670444.5</v>
      </c>
      <c r="G72" s="116">
        <f>+((G74+G75+G76)/2)+(G54/4)</f>
        <v>711125.5</v>
      </c>
      <c r="H72" s="116">
        <f t="shared" ref="H72:M72" si="29">+((H74+H75+H76)/2)+(H54/4)</f>
        <v>690406.25</v>
      </c>
      <c r="I72" s="116">
        <f t="shared" si="29"/>
        <v>664298.25</v>
      </c>
      <c r="J72" s="116">
        <f t="shared" si="29"/>
        <v>661563.5</v>
      </c>
      <c r="K72" s="116">
        <f t="shared" si="29"/>
        <v>631687.5</v>
      </c>
      <c r="L72" s="116">
        <f t="shared" si="29"/>
        <v>683871.5</v>
      </c>
      <c r="M72" s="116">
        <f t="shared" si="29"/>
        <v>647955</v>
      </c>
      <c r="N72" s="116" t="e">
        <f>+((N74+N75+N76)/2)+(#REF!/4)</f>
        <v>#REF!</v>
      </c>
      <c r="O72" s="116">
        <f>+((O74+O75+O76)/2)+(N54/4)</f>
        <v>694354</v>
      </c>
    </row>
    <row r="73" spans="1:15" x14ac:dyDescent="0.2">
      <c r="A73" s="40" t="s">
        <v>53</v>
      </c>
      <c r="B73" s="92"/>
      <c r="C73" s="27"/>
      <c r="D73" s="27"/>
    </row>
    <row r="74" spans="1:15" x14ac:dyDescent="0.2">
      <c r="A74" s="50" t="s">
        <v>147</v>
      </c>
      <c r="B74" s="95"/>
      <c r="C74" s="31">
        <f>C97</f>
        <v>0</v>
      </c>
      <c r="D74" s="31"/>
      <c r="E74" s="31"/>
      <c r="F74" s="31"/>
      <c r="G74" s="31"/>
    </row>
    <row r="75" spans="1:15" x14ac:dyDescent="0.2">
      <c r="A75" s="61"/>
      <c r="B75" s="95"/>
      <c r="C75" s="27"/>
      <c r="D75" s="27"/>
    </row>
    <row r="76" spans="1:15" x14ac:dyDescent="0.2">
      <c r="A76" s="61"/>
      <c r="B76" s="95"/>
      <c r="C76" s="33"/>
      <c r="D76" s="33"/>
    </row>
    <row r="77" spans="1:15" x14ac:dyDescent="0.2">
      <c r="A77" s="62" t="s">
        <v>74</v>
      </c>
      <c r="B77" s="96"/>
      <c r="C77" s="78">
        <f t="shared" ref="C77:N77" si="30">+C70-C73-C74</f>
        <v>183914.87</v>
      </c>
      <c r="D77" s="78">
        <f t="shared" si="30"/>
        <v>240867.87</v>
      </c>
      <c r="E77" s="78">
        <f t="shared" si="30"/>
        <v>169613.87</v>
      </c>
      <c r="F77" s="78">
        <f t="shared" si="30"/>
        <v>239234.87</v>
      </c>
      <c r="G77" s="78">
        <f t="shared" si="30"/>
        <v>112528.87</v>
      </c>
      <c r="H77" s="78">
        <f t="shared" si="30"/>
        <v>-35230.130000000005</v>
      </c>
      <c r="I77" s="78">
        <f t="shared" si="30"/>
        <v>-65078.130000000005</v>
      </c>
      <c r="J77" s="78">
        <f t="shared" si="30"/>
        <v>-105734.13</v>
      </c>
      <c r="K77" s="78">
        <f t="shared" si="30"/>
        <v>-14935.130000000005</v>
      </c>
      <c r="L77" s="78">
        <f t="shared" si="30"/>
        <v>-176204.13</v>
      </c>
      <c r="M77" s="78">
        <f t="shared" si="30"/>
        <v>-318365.13</v>
      </c>
      <c r="N77" s="78" t="e">
        <f t="shared" si="30"/>
        <v>#REF!</v>
      </c>
    </row>
    <row r="78" spans="1:15" s="125" customFormat="1" x14ac:dyDescent="0.2">
      <c r="A78" s="62"/>
      <c r="B78" s="124"/>
      <c r="C78" s="124"/>
      <c r="D78" s="124"/>
      <c r="E78" s="124"/>
      <c r="F78" s="124"/>
      <c r="G78" s="124"/>
      <c r="H78" s="124"/>
      <c r="I78" s="124"/>
      <c r="J78" s="124"/>
      <c r="K78" s="124"/>
      <c r="L78" s="124"/>
      <c r="M78" s="124"/>
      <c r="N78" s="124"/>
      <c r="O78" s="124"/>
    </row>
    <row r="83" spans="1:4" ht="18" customHeight="1" x14ac:dyDescent="0.2"/>
    <row r="87" spans="1:4" ht="20.25" customHeight="1" x14ac:dyDescent="0.2">
      <c r="A87" s="28"/>
      <c r="B87" s="35"/>
      <c r="C87" s="85" t="s">
        <v>98</v>
      </c>
      <c r="D87" s="85" t="s">
        <v>70</v>
      </c>
    </row>
    <row r="88" spans="1:4" x14ac:dyDescent="0.2">
      <c r="A88" s="59" t="s">
        <v>65</v>
      </c>
      <c r="B88" s="97"/>
      <c r="C88" s="31"/>
      <c r="D88" s="31"/>
    </row>
    <row r="89" spans="1:4" x14ac:dyDescent="0.2">
      <c r="A89" s="58" t="s">
        <v>75</v>
      </c>
      <c r="B89" s="98"/>
      <c r="C89" s="31">
        <v>0</v>
      </c>
      <c r="D89" s="31">
        <v>32970000</v>
      </c>
    </row>
    <row r="90" spans="1:4" x14ac:dyDescent="0.2">
      <c r="A90" s="58" t="s">
        <v>76</v>
      </c>
      <c r="B90" s="98"/>
      <c r="C90" s="31" t="s">
        <v>99</v>
      </c>
      <c r="D90" s="31">
        <v>2009</v>
      </c>
    </row>
    <row r="91" spans="1:4" x14ac:dyDescent="0.2">
      <c r="A91" s="58" t="s">
        <v>79</v>
      </c>
      <c r="B91" s="98"/>
      <c r="C91" s="31" t="s">
        <v>99</v>
      </c>
      <c r="D91" s="31">
        <v>2011</v>
      </c>
    </row>
    <row r="92" spans="1:4" ht="25.5" x14ac:dyDescent="0.2">
      <c r="A92" s="58" t="s">
        <v>78</v>
      </c>
      <c r="B92" s="98"/>
      <c r="C92" s="31">
        <f>FV(+C96,0,0,-C89,1)</f>
        <v>0</v>
      </c>
      <c r="D92" s="31">
        <f>FV(+D96,0,0,-D89,1)</f>
        <v>32970000</v>
      </c>
    </row>
    <row r="93" spans="1:4" x14ac:dyDescent="0.2">
      <c r="A93" s="58" t="s">
        <v>53</v>
      </c>
      <c r="B93" s="98"/>
      <c r="C93" s="31">
        <f>+C92*0.0035</f>
        <v>0</v>
      </c>
      <c r="D93" s="31">
        <f>+D92*0.0035</f>
        <v>115395</v>
      </c>
    </row>
    <row r="94" spans="1:4" x14ac:dyDescent="0.2">
      <c r="A94" s="58" t="s">
        <v>66</v>
      </c>
      <c r="B94" s="98"/>
      <c r="C94" s="31">
        <v>0</v>
      </c>
      <c r="D94" s="31">
        <v>25</v>
      </c>
    </row>
    <row r="95" spans="1:4" x14ac:dyDescent="0.2">
      <c r="A95" s="58" t="s">
        <v>67</v>
      </c>
      <c r="B95" s="98"/>
      <c r="C95" s="31">
        <v>0</v>
      </c>
      <c r="D95" s="31">
        <v>5.28E-2</v>
      </c>
    </row>
    <row r="96" spans="1:4" x14ac:dyDescent="0.2">
      <c r="A96" s="58" t="s">
        <v>77</v>
      </c>
      <c r="B96" s="98"/>
      <c r="C96" s="31">
        <v>0</v>
      </c>
      <c r="D96" s="31">
        <v>0.05</v>
      </c>
    </row>
    <row r="97" spans="1:4" x14ac:dyDescent="0.2">
      <c r="A97" s="58" t="s">
        <v>68</v>
      </c>
      <c r="B97" s="98"/>
      <c r="C97" s="31">
        <v>0</v>
      </c>
      <c r="D97" s="31">
        <f>PMT(D95,D94,-D92,0,1)</f>
        <v>2284745.3953403234</v>
      </c>
    </row>
    <row r="98" spans="1:4" x14ac:dyDescent="0.2">
      <c r="A98" s="58" t="s">
        <v>69</v>
      </c>
      <c r="B98" s="98"/>
      <c r="C98" s="31">
        <v>0</v>
      </c>
      <c r="D98" s="31">
        <f>+D97/2</f>
        <v>1142372.6976701617</v>
      </c>
    </row>
    <row r="99" spans="1:4" x14ac:dyDescent="0.2">
      <c r="A99" s="28"/>
      <c r="B99" s="35"/>
      <c r="C99" s="31"/>
      <c r="D99" s="31"/>
    </row>
    <row r="100" spans="1:4" x14ac:dyDescent="0.2">
      <c r="A100" s="70" t="s">
        <v>88</v>
      </c>
      <c r="B100" s="99"/>
      <c r="C100" s="31">
        <f>+C93+(C97*C94)</f>
        <v>0</v>
      </c>
      <c r="D100" s="31">
        <f>+D93+(D97*D94)</f>
        <v>57234029.883508086</v>
      </c>
    </row>
    <row r="101" spans="1:4" x14ac:dyDescent="0.2">
      <c r="A101" s="28"/>
      <c r="B101" s="35"/>
      <c r="C101" s="35"/>
      <c r="D101" s="35"/>
    </row>
    <row r="102" spans="1:4" x14ac:dyDescent="0.2">
      <c r="A102" s="72" t="s">
        <v>89</v>
      </c>
      <c r="B102" s="100"/>
      <c r="C102" s="35"/>
      <c r="D102" s="35"/>
    </row>
    <row r="103" spans="1:4" x14ac:dyDescent="0.2">
      <c r="A103" s="73" t="s">
        <v>90</v>
      </c>
      <c r="B103" s="101"/>
      <c r="C103" s="74">
        <f>+C25-C58</f>
        <v>0</v>
      </c>
      <c r="D103" s="74">
        <f>+D25-D58</f>
        <v>0</v>
      </c>
    </row>
    <row r="104" spans="1:4" x14ac:dyDescent="0.2">
      <c r="A104" s="73" t="s">
        <v>91</v>
      </c>
      <c r="B104" s="101"/>
      <c r="C104" s="74">
        <f>+C54-C59</f>
        <v>0</v>
      </c>
      <c r="D104" s="74">
        <f>+D54-D59</f>
        <v>0</v>
      </c>
    </row>
  </sheetData>
  <printOptions horizontalCentered="1" headings="1" gridLines="1"/>
  <pageMargins left="0.7" right="0.7" top="0.75" bottom="0.75" header="0.3" footer="0.3"/>
  <pageSetup paperSize="17" scale="60" fitToWidth="0" orientation="landscape"/>
  <headerFooter>
    <oddHeader>&amp;C&amp;F</oddHeader>
    <oddFooter>Page &amp;P of &amp;N</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0"/>
  <sheetViews>
    <sheetView windowProtection="1" workbookViewId="0">
      <selection activeCell="P39" sqref="P39"/>
    </sheetView>
  </sheetViews>
  <sheetFormatPr defaultRowHeight="12.75" x14ac:dyDescent="0.2"/>
  <cols>
    <col min="1" max="1" width="26.42578125" bestFit="1" customWidth="1"/>
    <col min="2" max="2" width="14.42578125" bestFit="1" customWidth="1"/>
    <col min="3" max="14" width="10.140625" bestFit="1" customWidth="1"/>
    <col min="15" max="18" width="16.28515625" customWidth="1"/>
    <col min="19" max="19" width="11.140625" bestFit="1" customWidth="1"/>
    <col min="20" max="20" width="2" bestFit="1" customWidth="1"/>
    <col min="21" max="21" width="7.140625" bestFit="1" customWidth="1"/>
    <col min="22" max="22" width="2.140625" bestFit="1" customWidth="1"/>
    <col min="23" max="23" width="8.140625" bestFit="1" customWidth="1"/>
    <col min="25" max="25" width="6" bestFit="1" customWidth="1"/>
  </cols>
  <sheetData>
    <row r="1" spans="1:18" ht="26.25" thickBot="1" x14ac:dyDescent="0.25">
      <c r="C1" s="117">
        <v>2005</v>
      </c>
      <c r="D1" s="117">
        <v>2006</v>
      </c>
      <c r="E1" s="117">
        <v>2007</v>
      </c>
      <c r="F1" s="117">
        <v>2008</v>
      </c>
      <c r="G1" s="117">
        <v>2009</v>
      </c>
      <c r="H1" s="117">
        <v>2010</v>
      </c>
      <c r="I1" s="117">
        <v>2011</v>
      </c>
      <c r="J1" s="117">
        <v>2012</v>
      </c>
      <c r="K1" s="117">
        <v>2013</v>
      </c>
      <c r="L1" s="117">
        <v>2014</v>
      </c>
      <c r="M1" s="117" t="s">
        <v>153</v>
      </c>
      <c r="N1" s="117" t="s">
        <v>158</v>
      </c>
      <c r="O1" s="117" t="s">
        <v>161</v>
      </c>
      <c r="P1" s="117" t="s">
        <v>162</v>
      </c>
      <c r="Q1" s="151"/>
      <c r="R1" s="151"/>
    </row>
    <row r="2" spans="1:18" ht="15" x14ac:dyDescent="0.25">
      <c r="A2" s="42" t="s">
        <v>29</v>
      </c>
      <c r="C2" s="130">
        <v>23834</v>
      </c>
      <c r="D2" s="131">
        <v>29711</v>
      </c>
      <c r="E2" s="131">
        <v>18469</v>
      </c>
      <c r="F2" s="131">
        <v>10328</v>
      </c>
      <c r="G2" s="131">
        <v>13032</v>
      </c>
      <c r="H2" s="131">
        <v>21080</v>
      </c>
      <c r="I2" s="131">
        <v>17722</v>
      </c>
      <c r="J2" s="131">
        <v>23670</v>
      </c>
      <c r="K2" s="131">
        <v>18353</v>
      </c>
      <c r="L2" s="131">
        <v>29899</v>
      </c>
      <c r="M2" s="148">
        <f>ROUND(AVERAGE(C2:L2),0)</f>
        <v>20610</v>
      </c>
      <c r="N2" s="55">
        <f>ROUND(M2,-3)</f>
        <v>21000</v>
      </c>
      <c r="O2" s="55">
        <f>ROUND(AVERAGE(J2:L2),0)</f>
        <v>23974</v>
      </c>
      <c r="P2" s="55">
        <f>ROUND(O2,-3)</f>
        <v>24000</v>
      </c>
      <c r="Q2" s="55"/>
      <c r="R2" s="55"/>
    </row>
    <row r="3" spans="1:18" ht="15" x14ac:dyDescent="0.25">
      <c r="A3" s="42" t="s">
        <v>30</v>
      </c>
      <c r="C3" s="134">
        <v>2349263</v>
      </c>
      <c r="D3" s="56">
        <v>2333545</v>
      </c>
      <c r="E3" s="56">
        <v>2446041</v>
      </c>
      <c r="F3" s="56">
        <v>2451065</v>
      </c>
      <c r="G3" s="56">
        <v>2393475</v>
      </c>
      <c r="H3" s="56">
        <v>2407716</v>
      </c>
      <c r="I3" s="56">
        <v>2338622</v>
      </c>
      <c r="J3" s="56">
        <v>2423809</v>
      </c>
      <c r="K3" s="56">
        <v>2368727</v>
      </c>
      <c r="L3" s="56">
        <v>2257172</v>
      </c>
      <c r="M3" s="148">
        <f t="shared" ref="M3:M15" si="0">ROUND(AVERAGE(C3:L3),0)</f>
        <v>2376944</v>
      </c>
      <c r="N3" s="55">
        <f t="shared" ref="N3:N16" si="1">ROUND(M3,-3)</f>
        <v>2377000</v>
      </c>
      <c r="O3" s="55">
        <f t="shared" ref="O3:O16" si="2">ROUND(AVERAGE(J3:L3),0)</f>
        <v>2349903</v>
      </c>
      <c r="P3" s="55">
        <f t="shared" ref="P3:P16" si="3">ROUND(O3,-3)</f>
        <v>2350000</v>
      </c>
      <c r="Q3" s="55"/>
      <c r="R3" s="55"/>
    </row>
    <row r="4" spans="1:18" ht="15" x14ac:dyDescent="0.25">
      <c r="A4" s="42" t="s">
        <v>26</v>
      </c>
      <c r="C4" s="134">
        <v>7307</v>
      </c>
      <c r="D4" s="56">
        <v>9150</v>
      </c>
      <c r="E4" s="56">
        <v>13753</v>
      </c>
      <c r="F4" s="56">
        <v>17876</v>
      </c>
      <c r="G4" s="56">
        <v>9981</v>
      </c>
      <c r="H4" s="56">
        <v>3941</v>
      </c>
      <c r="I4" s="56">
        <v>2880</v>
      </c>
      <c r="J4" s="56">
        <v>2875</v>
      </c>
      <c r="K4" s="56">
        <v>1014</v>
      </c>
      <c r="L4" s="56">
        <v>2428</v>
      </c>
      <c r="M4" s="148">
        <f t="shared" si="0"/>
        <v>7121</v>
      </c>
      <c r="N4" s="55">
        <f t="shared" si="1"/>
        <v>7000</v>
      </c>
      <c r="O4" s="55">
        <f t="shared" si="2"/>
        <v>2106</v>
      </c>
      <c r="P4" s="55">
        <f t="shared" si="3"/>
        <v>2000</v>
      </c>
      <c r="Q4" s="55"/>
      <c r="R4" s="55"/>
    </row>
    <row r="5" spans="1:18" ht="15" x14ac:dyDescent="0.25">
      <c r="A5" s="42" t="s">
        <v>31</v>
      </c>
      <c r="C5" s="134">
        <v>38471</v>
      </c>
      <c r="D5" s="56">
        <v>43231</v>
      </c>
      <c r="E5" s="56">
        <v>51232</v>
      </c>
      <c r="F5" s="56">
        <v>4597</v>
      </c>
      <c r="G5" s="56">
        <v>11889</v>
      </c>
      <c r="H5" s="56">
        <v>14680</v>
      </c>
      <c r="I5" s="56">
        <v>33525</v>
      </c>
      <c r="J5" s="56">
        <v>6653</v>
      </c>
      <c r="K5" s="56">
        <v>5279</v>
      </c>
      <c r="L5" s="56">
        <v>27682</v>
      </c>
      <c r="M5" s="148">
        <f t="shared" si="0"/>
        <v>23724</v>
      </c>
      <c r="N5" s="55">
        <f t="shared" si="1"/>
        <v>24000</v>
      </c>
      <c r="O5" s="55">
        <f t="shared" si="2"/>
        <v>13205</v>
      </c>
      <c r="P5" s="55">
        <f t="shared" si="3"/>
        <v>13000</v>
      </c>
      <c r="Q5" s="55"/>
      <c r="R5" s="55"/>
    </row>
    <row r="6" spans="1:18" ht="15" x14ac:dyDescent="0.25">
      <c r="A6" s="42" t="s">
        <v>32</v>
      </c>
      <c r="C6" s="134">
        <v>0</v>
      </c>
      <c r="D6" s="56">
        <v>0</v>
      </c>
      <c r="E6" s="126">
        <v>0</v>
      </c>
      <c r="F6" s="56">
        <v>0</v>
      </c>
      <c r="G6" s="56">
        <v>0</v>
      </c>
      <c r="H6" s="56">
        <v>0</v>
      </c>
      <c r="I6" s="56">
        <v>0</v>
      </c>
      <c r="J6" s="56">
        <v>1798</v>
      </c>
      <c r="K6" s="56">
        <v>748</v>
      </c>
      <c r="L6" s="56">
        <v>0</v>
      </c>
      <c r="M6" s="148">
        <f t="shared" si="0"/>
        <v>255</v>
      </c>
      <c r="N6" s="55">
        <f>ROUND(M6,-2)</f>
        <v>300</v>
      </c>
      <c r="O6" s="55">
        <f t="shared" si="2"/>
        <v>849</v>
      </c>
      <c r="P6" s="55">
        <f t="shared" si="3"/>
        <v>1000</v>
      </c>
      <c r="Q6" s="55"/>
      <c r="R6" s="55"/>
    </row>
    <row r="7" spans="1:18" ht="15" x14ac:dyDescent="0.25">
      <c r="A7" s="42" t="s">
        <v>33</v>
      </c>
      <c r="C7" s="134">
        <v>223948</v>
      </c>
      <c r="D7" s="56">
        <v>129163</v>
      </c>
      <c r="E7" s="56">
        <v>113599</v>
      </c>
      <c r="F7" s="56">
        <v>100892</v>
      </c>
      <c r="G7" s="56">
        <v>48151</v>
      </c>
      <c r="H7" s="56">
        <v>18941</v>
      </c>
      <c r="I7" s="56">
        <v>14145</v>
      </c>
      <c r="J7" s="56">
        <v>22857</v>
      </c>
      <c r="K7" s="56">
        <v>9356</v>
      </c>
      <c r="L7" s="56">
        <v>6402</v>
      </c>
      <c r="M7" s="148">
        <f t="shared" si="0"/>
        <v>68745</v>
      </c>
      <c r="N7" s="55">
        <f t="shared" si="1"/>
        <v>69000</v>
      </c>
      <c r="O7" s="55">
        <f t="shared" si="2"/>
        <v>12872</v>
      </c>
      <c r="P7" s="55">
        <f t="shared" si="3"/>
        <v>13000</v>
      </c>
      <c r="Q7" s="55"/>
      <c r="R7" s="55"/>
    </row>
    <row r="8" spans="1:18" ht="15" x14ac:dyDescent="0.25">
      <c r="A8" s="42" t="s">
        <v>34</v>
      </c>
      <c r="C8" s="134">
        <v>23369</v>
      </c>
      <c r="D8" s="56">
        <v>20193</v>
      </c>
      <c r="E8" s="56">
        <v>15208</v>
      </c>
      <c r="F8" s="56">
        <v>18396</v>
      </c>
      <c r="G8" s="56">
        <v>12403</v>
      </c>
      <c r="H8" s="56">
        <v>15497</v>
      </c>
      <c r="I8" s="56">
        <v>18199</v>
      </c>
      <c r="J8" s="56">
        <v>18482</v>
      </c>
      <c r="K8" s="56">
        <v>18482</v>
      </c>
      <c r="L8" s="56">
        <v>17399</v>
      </c>
      <c r="M8" s="148">
        <f t="shared" si="0"/>
        <v>17763</v>
      </c>
      <c r="N8" s="55">
        <f t="shared" si="1"/>
        <v>18000</v>
      </c>
      <c r="O8" s="55">
        <f t="shared" si="2"/>
        <v>18121</v>
      </c>
      <c r="P8" s="55">
        <f t="shared" si="3"/>
        <v>18000</v>
      </c>
      <c r="Q8" s="55"/>
      <c r="R8" s="55"/>
    </row>
    <row r="9" spans="1:18" ht="15" x14ac:dyDescent="0.25">
      <c r="A9" s="42" t="s">
        <v>35</v>
      </c>
      <c r="C9" s="134">
        <v>24999</v>
      </c>
      <c r="D9" s="56">
        <v>21633</v>
      </c>
      <c r="E9" s="56">
        <v>33869</v>
      </c>
      <c r="F9" s="56">
        <v>35194</v>
      </c>
      <c r="G9" s="56">
        <v>51786</v>
      </c>
      <c r="H9" s="56">
        <v>72701</v>
      </c>
      <c r="I9" s="56">
        <v>81234</v>
      </c>
      <c r="J9" s="56">
        <v>76841</v>
      </c>
      <c r="K9" s="56">
        <v>61283</v>
      </c>
      <c r="L9" s="56">
        <v>62255</v>
      </c>
      <c r="M9" s="148">
        <f t="shared" si="0"/>
        <v>52180</v>
      </c>
      <c r="N9" s="55">
        <f t="shared" si="1"/>
        <v>52000</v>
      </c>
      <c r="O9" s="55">
        <f t="shared" si="2"/>
        <v>66793</v>
      </c>
      <c r="P9" s="55">
        <f t="shared" si="3"/>
        <v>67000</v>
      </c>
      <c r="Q9" s="55"/>
      <c r="R9" s="55"/>
    </row>
    <row r="10" spans="1:18" ht="15" x14ac:dyDescent="0.25">
      <c r="A10" s="42" t="s">
        <v>36</v>
      </c>
      <c r="C10" s="134">
        <v>7908</v>
      </c>
      <c r="D10" s="56">
        <v>12025</v>
      </c>
      <c r="E10" s="56">
        <v>250</v>
      </c>
      <c r="F10" s="56">
        <v>37695</v>
      </c>
      <c r="G10" s="56">
        <v>7250</v>
      </c>
      <c r="H10" s="56">
        <v>29250</v>
      </c>
      <c r="I10" s="56">
        <v>34750</v>
      </c>
      <c r="J10" s="56">
        <v>0</v>
      </c>
      <c r="K10" s="56">
        <v>26700</v>
      </c>
      <c r="L10" s="56">
        <v>0</v>
      </c>
      <c r="M10" s="148">
        <f t="shared" si="0"/>
        <v>15583</v>
      </c>
      <c r="N10" s="55">
        <f t="shared" si="1"/>
        <v>16000</v>
      </c>
      <c r="O10" s="55">
        <f t="shared" si="2"/>
        <v>8900</v>
      </c>
      <c r="P10" s="55">
        <f t="shared" si="3"/>
        <v>9000</v>
      </c>
      <c r="Q10" s="55"/>
      <c r="R10" s="55"/>
    </row>
    <row r="11" spans="1:18" ht="15" x14ac:dyDescent="0.25">
      <c r="A11" s="43" t="s">
        <v>37</v>
      </c>
      <c r="C11" s="134">
        <v>0</v>
      </c>
      <c r="D11" s="56">
        <v>0</v>
      </c>
      <c r="E11" s="56">
        <v>0</v>
      </c>
      <c r="F11" s="56">
        <v>0</v>
      </c>
      <c r="G11" s="56">
        <v>0</v>
      </c>
      <c r="H11" s="56">
        <v>0</v>
      </c>
      <c r="I11" s="56">
        <v>0</v>
      </c>
      <c r="J11" s="126">
        <v>0</v>
      </c>
      <c r="K11" s="56">
        <v>0</v>
      </c>
      <c r="L11" s="56">
        <v>0</v>
      </c>
      <c r="M11" s="148">
        <f t="shared" si="0"/>
        <v>0</v>
      </c>
      <c r="N11" s="55">
        <f>ROUND(M11,-2)</f>
        <v>0</v>
      </c>
      <c r="O11" s="55">
        <f t="shared" si="2"/>
        <v>0</v>
      </c>
      <c r="P11" s="55">
        <f t="shared" si="3"/>
        <v>0</v>
      </c>
      <c r="Q11" s="55"/>
      <c r="R11" s="55"/>
    </row>
    <row r="12" spans="1:18" ht="15" x14ac:dyDescent="0.25">
      <c r="A12" s="44" t="s">
        <v>27</v>
      </c>
      <c r="C12" s="134">
        <v>25089</v>
      </c>
      <c r="D12" s="56">
        <v>26615</v>
      </c>
      <c r="E12" s="56">
        <v>24818</v>
      </c>
      <c r="F12" s="56">
        <v>24330</v>
      </c>
      <c r="G12" s="56">
        <v>23018</v>
      </c>
      <c r="H12" s="56">
        <v>22939</v>
      </c>
      <c r="I12" s="56">
        <v>23977</v>
      </c>
      <c r="J12" s="56">
        <v>23550</v>
      </c>
      <c r="K12" s="56">
        <v>26826</v>
      </c>
      <c r="L12" s="56">
        <v>0</v>
      </c>
      <c r="M12" s="148">
        <f t="shared" si="0"/>
        <v>22116</v>
      </c>
      <c r="N12" s="55">
        <f t="shared" si="1"/>
        <v>22000</v>
      </c>
      <c r="O12" s="174">
        <f t="shared" si="2"/>
        <v>16792</v>
      </c>
      <c r="P12" s="55">
        <f t="shared" si="3"/>
        <v>17000</v>
      </c>
      <c r="Q12" s="55"/>
      <c r="R12" s="55"/>
    </row>
    <row r="13" spans="1:18" ht="15" x14ac:dyDescent="0.25">
      <c r="A13" s="44" t="s">
        <v>28</v>
      </c>
      <c r="C13" s="134">
        <v>76370</v>
      </c>
      <c r="D13" s="56">
        <v>55875</v>
      </c>
      <c r="E13" s="56">
        <v>34160</v>
      </c>
      <c r="F13" s="56">
        <v>16866</v>
      </c>
      <c r="G13" s="56">
        <v>23018</v>
      </c>
      <c r="H13" s="56">
        <v>20600</v>
      </c>
      <c r="I13" s="56">
        <v>40250</v>
      </c>
      <c r="J13" s="56">
        <v>16760</v>
      </c>
      <c r="K13" s="56">
        <v>24400</v>
      </c>
      <c r="L13" s="56">
        <v>25045</v>
      </c>
      <c r="M13" s="148">
        <f t="shared" si="0"/>
        <v>33334</v>
      </c>
      <c r="N13" s="55">
        <f t="shared" si="1"/>
        <v>33000</v>
      </c>
      <c r="O13" s="55">
        <f t="shared" si="2"/>
        <v>22068</v>
      </c>
      <c r="P13" s="55">
        <f t="shared" si="3"/>
        <v>22000</v>
      </c>
      <c r="Q13" s="55"/>
      <c r="R13" s="55"/>
    </row>
    <row r="14" spans="1:18" ht="15" x14ac:dyDescent="0.25">
      <c r="A14" s="44" t="s">
        <v>124</v>
      </c>
      <c r="C14" s="134">
        <v>0</v>
      </c>
      <c r="D14" s="56">
        <v>0</v>
      </c>
      <c r="E14" s="56">
        <v>0</v>
      </c>
      <c r="F14" s="56">
        <v>0</v>
      </c>
      <c r="G14" s="56">
        <v>19300</v>
      </c>
      <c r="H14" s="56">
        <v>0</v>
      </c>
      <c r="I14" s="56">
        <v>0</v>
      </c>
      <c r="J14" s="56">
        <v>0</v>
      </c>
      <c r="K14" s="56">
        <v>0</v>
      </c>
      <c r="L14" s="56">
        <v>6000</v>
      </c>
      <c r="M14" s="148">
        <f t="shared" si="0"/>
        <v>2530</v>
      </c>
      <c r="N14" s="55">
        <f t="shared" si="1"/>
        <v>3000</v>
      </c>
      <c r="O14" s="55">
        <f t="shared" si="2"/>
        <v>2000</v>
      </c>
      <c r="P14" s="55">
        <f t="shared" si="3"/>
        <v>2000</v>
      </c>
      <c r="Q14" s="55"/>
      <c r="R14" s="55"/>
    </row>
    <row r="15" spans="1:18" ht="15.75" thickBot="1" x14ac:dyDescent="0.3">
      <c r="A15" s="44" t="s">
        <v>125</v>
      </c>
      <c r="C15" s="140">
        <v>0</v>
      </c>
      <c r="D15" s="145">
        <v>1089</v>
      </c>
      <c r="E15" s="145">
        <v>0</v>
      </c>
      <c r="F15" s="145">
        <v>557</v>
      </c>
      <c r="G15" s="145">
        <v>563</v>
      </c>
      <c r="H15" s="145">
        <v>0</v>
      </c>
      <c r="I15" s="145">
        <v>294</v>
      </c>
      <c r="J15" s="145">
        <v>254</v>
      </c>
      <c r="K15" s="145">
        <v>13049</v>
      </c>
      <c r="L15" s="145">
        <v>15377</v>
      </c>
      <c r="M15" s="148">
        <f t="shared" si="0"/>
        <v>3118</v>
      </c>
      <c r="N15" s="55">
        <f t="shared" si="1"/>
        <v>3000</v>
      </c>
      <c r="O15" s="55">
        <f t="shared" si="2"/>
        <v>9560</v>
      </c>
      <c r="P15" s="55">
        <f t="shared" si="3"/>
        <v>10000</v>
      </c>
      <c r="Q15" s="55"/>
      <c r="R15" s="55"/>
    </row>
    <row r="16" spans="1:18" ht="15.75" thickBot="1" x14ac:dyDescent="0.3">
      <c r="A16" s="51" t="s">
        <v>59</v>
      </c>
      <c r="C16" s="129">
        <f>SUM(C2:C15)</f>
        <v>2800558</v>
      </c>
      <c r="D16" s="129">
        <f>SUM(D2:D15)</f>
        <v>2682230</v>
      </c>
      <c r="E16" s="129">
        <f t="shared" ref="E16:L16" si="4">SUM(E2:E15)</f>
        <v>2751399</v>
      </c>
      <c r="F16" s="129">
        <f t="shared" si="4"/>
        <v>2717796</v>
      </c>
      <c r="G16" s="129">
        <f t="shared" si="4"/>
        <v>2613866</v>
      </c>
      <c r="H16" s="129">
        <f t="shared" si="4"/>
        <v>2627345</v>
      </c>
      <c r="I16" s="129">
        <f t="shared" si="4"/>
        <v>2605598</v>
      </c>
      <c r="J16" s="129">
        <f t="shared" si="4"/>
        <v>2617549</v>
      </c>
      <c r="K16" s="129">
        <f t="shared" si="4"/>
        <v>2574217</v>
      </c>
      <c r="L16" s="129">
        <f t="shared" si="4"/>
        <v>2449659</v>
      </c>
      <c r="M16" s="148">
        <f t="shared" ref="M16" si="5">ROUND(AVERAGE(C16:L16),0)</f>
        <v>2644022</v>
      </c>
      <c r="N16" s="55">
        <f t="shared" si="1"/>
        <v>2644000</v>
      </c>
      <c r="O16" s="55">
        <f t="shared" si="2"/>
        <v>2547142</v>
      </c>
      <c r="P16" s="55">
        <f t="shared" si="3"/>
        <v>2547000</v>
      </c>
      <c r="Q16" s="55"/>
      <c r="R16" s="55"/>
    </row>
    <row r="17" spans="1:18" ht="15" x14ac:dyDescent="0.25">
      <c r="A17" s="11"/>
      <c r="M17" s="149"/>
    </row>
    <row r="18" spans="1:18" ht="15" x14ac:dyDescent="0.25">
      <c r="A18" s="121" t="s">
        <v>51</v>
      </c>
      <c r="M18" s="149"/>
    </row>
    <row r="19" spans="1:18" ht="15.75" thickBot="1" x14ac:dyDescent="0.3">
      <c r="A19" s="118" t="s">
        <v>39</v>
      </c>
      <c r="M19" s="149"/>
    </row>
    <row r="20" spans="1:18" ht="15" x14ac:dyDescent="0.25">
      <c r="A20" s="39" t="s">
        <v>113</v>
      </c>
      <c r="C20" s="130">
        <v>688338</v>
      </c>
      <c r="D20" s="131">
        <v>648903</v>
      </c>
      <c r="E20" s="132">
        <v>614040</v>
      </c>
      <c r="F20" s="132">
        <v>653621</v>
      </c>
      <c r="G20" s="132">
        <v>689930</v>
      </c>
      <c r="H20" s="132">
        <v>674976</v>
      </c>
      <c r="I20" s="132">
        <v>713469</v>
      </c>
      <c r="J20" s="132">
        <v>679061</v>
      </c>
      <c r="K20" s="132">
        <v>725392</v>
      </c>
      <c r="L20" s="132">
        <v>713623</v>
      </c>
      <c r="M20" s="148">
        <f t="shared" ref="M20:M24" si="6">ROUND(AVERAGE(C20:L20),0)</f>
        <v>680135</v>
      </c>
      <c r="N20" s="55">
        <f t="shared" ref="N20:N21" si="7">ROUND(M20,-3)</f>
        <v>680000</v>
      </c>
      <c r="O20" s="55">
        <f t="shared" ref="O20" si="8">ROUND(AVERAGE(J20:L20),0)</f>
        <v>706025</v>
      </c>
      <c r="P20" s="55">
        <f t="shared" ref="P20:P21" si="9">ROUND(O20,-3)</f>
        <v>706000</v>
      </c>
      <c r="Q20" s="55"/>
      <c r="R20" s="55"/>
    </row>
    <row r="21" spans="1:18" ht="15" x14ac:dyDescent="0.25">
      <c r="A21" s="39" t="s">
        <v>40</v>
      </c>
      <c r="C21" s="134">
        <v>560021</v>
      </c>
      <c r="D21" s="56">
        <v>591752</v>
      </c>
      <c r="E21" s="126">
        <v>549486</v>
      </c>
      <c r="F21" s="126">
        <v>646455</v>
      </c>
      <c r="G21" s="126">
        <v>676782</v>
      </c>
      <c r="H21" s="126">
        <v>624395</v>
      </c>
      <c r="I21" s="126">
        <v>574541</v>
      </c>
      <c r="J21" s="126">
        <v>529885</v>
      </c>
      <c r="K21" s="126">
        <v>751136</v>
      </c>
      <c r="L21" s="126">
        <v>636446</v>
      </c>
      <c r="M21" s="148">
        <f t="shared" si="6"/>
        <v>614090</v>
      </c>
      <c r="N21" s="55">
        <f t="shared" si="7"/>
        <v>614000</v>
      </c>
      <c r="O21" s="55">
        <f t="shared" ref="O21" si="10">ROUND(AVERAGE(J21:L21),0)</f>
        <v>639156</v>
      </c>
      <c r="P21" s="55">
        <f t="shared" si="9"/>
        <v>639000</v>
      </c>
      <c r="Q21" s="55"/>
      <c r="R21" s="55"/>
    </row>
    <row r="22" spans="1:18" ht="15" x14ac:dyDescent="0.25">
      <c r="A22" s="118" t="s">
        <v>41</v>
      </c>
      <c r="C22" s="136"/>
      <c r="D22" s="127"/>
      <c r="E22" s="127"/>
      <c r="F22" s="127"/>
      <c r="G22" s="127"/>
      <c r="H22" s="127"/>
      <c r="I22" s="127"/>
      <c r="J22" s="127"/>
      <c r="K22" s="127"/>
      <c r="L22" s="127"/>
      <c r="M22" s="150"/>
      <c r="O22" s="55"/>
      <c r="P22" s="55"/>
      <c r="Q22" s="55"/>
      <c r="R22" s="55"/>
    </row>
    <row r="23" spans="1:18" ht="15" x14ac:dyDescent="0.25">
      <c r="A23" s="39" t="s">
        <v>113</v>
      </c>
      <c r="C23" s="134">
        <v>264436</v>
      </c>
      <c r="D23" s="56">
        <v>269741</v>
      </c>
      <c r="E23" s="126">
        <v>294681</v>
      </c>
      <c r="F23" s="126">
        <v>299443</v>
      </c>
      <c r="G23" s="126">
        <v>305333</v>
      </c>
      <c r="H23" s="126">
        <v>249306</v>
      </c>
      <c r="I23" s="126">
        <v>212088</v>
      </c>
      <c r="J23" s="126">
        <v>206633</v>
      </c>
      <c r="K23" s="126">
        <v>182061</v>
      </c>
      <c r="L23" s="126">
        <v>141089</v>
      </c>
      <c r="M23" s="148">
        <f t="shared" si="6"/>
        <v>242481</v>
      </c>
      <c r="N23" s="55">
        <f t="shared" ref="N23:N24" si="11">ROUND(M23,-3)</f>
        <v>242000</v>
      </c>
      <c r="O23" s="55">
        <f t="shared" ref="O23" si="12">ROUND(AVERAGE(J23:L23),0)</f>
        <v>176594</v>
      </c>
      <c r="P23" s="55">
        <f t="shared" ref="P23:P24" si="13">ROUND(O23,-3)</f>
        <v>177000</v>
      </c>
      <c r="Q23" s="55"/>
      <c r="R23" s="55"/>
    </row>
    <row r="24" spans="1:18" ht="15" x14ac:dyDescent="0.25">
      <c r="A24" s="39" t="s">
        <v>40</v>
      </c>
      <c r="C24" s="134">
        <v>127562</v>
      </c>
      <c r="D24" s="56">
        <v>162130</v>
      </c>
      <c r="E24" s="126">
        <v>137189</v>
      </c>
      <c r="F24" s="126">
        <v>240321</v>
      </c>
      <c r="G24" s="126">
        <v>89161</v>
      </c>
      <c r="H24" s="126">
        <v>79432</v>
      </c>
      <c r="I24" s="126">
        <v>118534</v>
      </c>
      <c r="J24" s="126">
        <v>99395</v>
      </c>
      <c r="K24" s="126">
        <v>94105</v>
      </c>
      <c r="L24" s="126">
        <v>75317</v>
      </c>
      <c r="M24" s="148">
        <f t="shared" si="6"/>
        <v>122315</v>
      </c>
      <c r="N24" s="55">
        <f t="shared" si="11"/>
        <v>122000</v>
      </c>
      <c r="O24" s="55">
        <f t="shared" ref="O24" si="14">ROUND(AVERAGE(J24:L24),0)</f>
        <v>89606</v>
      </c>
      <c r="P24" s="55">
        <f t="shared" si="13"/>
        <v>90000</v>
      </c>
      <c r="Q24" s="55"/>
      <c r="R24" s="55"/>
    </row>
    <row r="25" spans="1:18" ht="15" x14ac:dyDescent="0.25">
      <c r="A25" s="119" t="s">
        <v>42</v>
      </c>
      <c r="C25" s="136"/>
      <c r="D25" s="127"/>
      <c r="E25" s="127"/>
      <c r="F25" s="127"/>
      <c r="G25" s="127"/>
      <c r="H25" s="127"/>
      <c r="I25" s="127"/>
      <c r="J25" s="127"/>
      <c r="K25" s="127"/>
      <c r="L25" s="127"/>
      <c r="M25" s="150"/>
      <c r="O25" s="55"/>
      <c r="P25" s="55"/>
      <c r="Q25" s="55"/>
      <c r="R25" s="55"/>
    </row>
    <row r="26" spans="1:18" ht="15" x14ac:dyDescent="0.25">
      <c r="A26" s="39" t="s">
        <v>113</v>
      </c>
      <c r="C26" s="134">
        <v>125531</v>
      </c>
      <c r="D26" s="56">
        <v>135355</v>
      </c>
      <c r="E26" s="126">
        <v>133383</v>
      </c>
      <c r="F26" s="126">
        <v>135979</v>
      </c>
      <c r="G26" s="126">
        <v>137355</v>
      </c>
      <c r="H26" s="126">
        <v>135112</v>
      </c>
      <c r="I26" s="126">
        <v>136381</v>
      </c>
      <c r="J26" s="126">
        <v>146837</v>
      </c>
      <c r="K26" s="126">
        <v>150019</v>
      </c>
      <c r="L26" s="126">
        <v>153262</v>
      </c>
      <c r="M26" s="148">
        <f>ROUND(AVERAGE(C26:L26),0)</f>
        <v>138921</v>
      </c>
      <c r="N26" s="55">
        <f t="shared" ref="N26:N27" si="15">ROUND(M26,-3)</f>
        <v>139000</v>
      </c>
      <c r="O26" s="55">
        <f t="shared" ref="O26:O27" si="16">ROUND(AVERAGE(J26:L26),0)</f>
        <v>150039</v>
      </c>
      <c r="P26" s="55">
        <f t="shared" ref="P26:P27" si="17">ROUND(O26,-3)</f>
        <v>150000</v>
      </c>
      <c r="Q26" s="55"/>
      <c r="R26" s="55"/>
    </row>
    <row r="27" spans="1:18" ht="15" x14ac:dyDescent="0.25">
      <c r="A27" s="39" t="s">
        <v>40</v>
      </c>
      <c r="C27" s="134">
        <v>31045</v>
      </c>
      <c r="D27" s="56">
        <v>41734</v>
      </c>
      <c r="E27" s="126">
        <v>37926</v>
      </c>
      <c r="F27" s="126">
        <v>44865</v>
      </c>
      <c r="G27" s="126">
        <v>39193</v>
      </c>
      <c r="H27" s="126">
        <v>86947</v>
      </c>
      <c r="I27" s="126">
        <v>48176</v>
      </c>
      <c r="J27" s="126">
        <v>47745</v>
      </c>
      <c r="K27" s="126">
        <v>42470</v>
      </c>
      <c r="L27" s="126">
        <v>43321</v>
      </c>
      <c r="M27" s="148">
        <f>ROUND(AVERAGE(C27:L27),0)</f>
        <v>46342</v>
      </c>
      <c r="N27" s="55">
        <f t="shared" si="15"/>
        <v>46000</v>
      </c>
      <c r="O27" s="55">
        <f t="shared" si="16"/>
        <v>44512</v>
      </c>
      <c r="P27" s="55">
        <f t="shared" si="17"/>
        <v>45000</v>
      </c>
      <c r="Q27" s="55"/>
      <c r="R27" s="55"/>
    </row>
    <row r="28" spans="1:18" ht="15" x14ac:dyDescent="0.25">
      <c r="A28" s="118" t="s">
        <v>43</v>
      </c>
      <c r="C28" s="136"/>
      <c r="D28" s="127"/>
      <c r="E28" s="127"/>
      <c r="F28" s="127"/>
      <c r="G28" s="127"/>
      <c r="H28" s="127"/>
      <c r="I28" s="127"/>
      <c r="J28" s="127"/>
      <c r="K28" s="127"/>
      <c r="L28" s="127"/>
      <c r="M28" s="150"/>
      <c r="O28" s="55"/>
      <c r="P28" s="55"/>
      <c r="Q28" s="55"/>
      <c r="R28" s="55"/>
    </row>
    <row r="29" spans="1:18" ht="15" x14ac:dyDescent="0.25">
      <c r="A29" s="39" t="s">
        <v>44</v>
      </c>
      <c r="C29" s="134">
        <v>0</v>
      </c>
      <c r="D29" s="56"/>
      <c r="E29" s="138"/>
      <c r="F29" s="138"/>
      <c r="G29" s="138"/>
      <c r="H29" s="138"/>
      <c r="I29" s="138"/>
      <c r="J29" s="138"/>
      <c r="K29" s="138"/>
      <c r="L29" s="138"/>
      <c r="M29" s="149"/>
      <c r="O29" s="55"/>
      <c r="P29" s="55"/>
      <c r="Q29" s="55"/>
      <c r="R29" s="55"/>
    </row>
    <row r="30" spans="1:18" ht="15" x14ac:dyDescent="0.25">
      <c r="A30" s="39" t="s">
        <v>54</v>
      </c>
      <c r="C30" s="134">
        <v>473491</v>
      </c>
      <c r="D30" s="56">
        <v>473491</v>
      </c>
      <c r="E30" s="126">
        <v>473491</v>
      </c>
      <c r="F30" s="126">
        <v>473491</v>
      </c>
      <c r="G30" s="126">
        <v>473491</v>
      </c>
      <c r="H30" s="126">
        <v>473491</v>
      </c>
      <c r="I30" s="126">
        <v>473491</v>
      </c>
      <c r="J30" s="126">
        <v>473491</v>
      </c>
      <c r="K30" s="126">
        <v>473491</v>
      </c>
      <c r="L30" s="126">
        <v>473491</v>
      </c>
      <c r="M30" s="148">
        <f t="shared" ref="M30:M38" si="18">ROUND(AVERAGE(C30:L30),0)</f>
        <v>473491</v>
      </c>
      <c r="N30" s="55">
        <f t="shared" ref="N30:N36" si="19">ROUND(M30,-3)</f>
        <v>473000</v>
      </c>
      <c r="O30" s="55">
        <f t="shared" ref="O30:O36" si="20">ROUND(AVERAGE(J30:L30),0)</f>
        <v>473491</v>
      </c>
      <c r="P30" s="55">
        <f t="shared" ref="P30:P36" si="21">ROUND(O30,-3)</f>
        <v>473000</v>
      </c>
      <c r="Q30" s="55"/>
      <c r="R30" s="55"/>
    </row>
    <row r="31" spans="1:18" ht="15" x14ac:dyDescent="0.25">
      <c r="A31" s="39" t="s">
        <v>45</v>
      </c>
      <c r="C31" s="134">
        <v>8325</v>
      </c>
      <c r="D31" s="56">
        <v>8325</v>
      </c>
      <c r="E31" s="126">
        <v>8325</v>
      </c>
      <c r="F31" s="126">
        <v>8325</v>
      </c>
      <c r="G31" s="126">
        <v>8325</v>
      </c>
      <c r="H31" s="126">
        <v>8325</v>
      </c>
      <c r="I31" s="126">
        <v>8325</v>
      </c>
      <c r="J31" s="126">
        <v>4163</v>
      </c>
      <c r="K31" s="126">
        <v>8325</v>
      </c>
      <c r="L31" s="126">
        <v>8325</v>
      </c>
      <c r="M31" s="148">
        <f t="shared" si="18"/>
        <v>7909</v>
      </c>
      <c r="N31" s="55">
        <f t="shared" si="19"/>
        <v>8000</v>
      </c>
      <c r="O31" s="55">
        <f t="shared" si="20"/>
        <v>6938</v>
      </c>
      <c r="P31" s="55">
        <f t="shared" si="21"/>
        <v>7000</v>
      </c>
      <c r="Q31" s="55"/>
      <c r="R31" s="55"/>
    </row>
    <row r="32" spans="1:18" ht="15" x14ac:dyDescent="0.25">
      <c r="A32" s="39" t="s">
        <v>114</v>
      </c>
      <c r="C32" s="134">
        <v>80000</v>
      </c>
      <c r="D32" s="56">
        <v>20000</v>
      </c>
      <c r="E32" s="126">
        <v>40000</v>
      </c>
      <c r="F32" s="126">
        <v>40000</v>
      </c>
      <c r="G32" s="126">
        <v>40000</v>
      </c>
      <c r="H32" s="126">
        <v>40000</v>
      </c>
      <c r="I32" s="126">
        <v>40000</v>
      </c>
      <c r="J32" s="126">
        <v>40000</v>
      </c>
      <c r="K32" s="126">
        <v>40000</v>
      </c>
      <c r="L32" s="126">
        <v>40000</v>
      </c>
      <c r="M32" s="148">
        <f t="shared" si="18"/>
        <v>42000</v>
      </c>
      <c r="N32" s="55">
        <f t="shared" si="19"/>
        <v>42000</v>
      </c>
      <c r="O32" s="55">
        <f t="shared" si="20"/>
        <v>40000</v>
      </c>
      <c r="P32" s="55">
        <f t="shared" si="21"/>
        <v>40000</v>
      </c>
      <c r="Q32" s="55"/>
      <c r="R32" s="55"/>
    </row>
    <row r="33" spans="1:18" ht="15" x14ac:dyDescent="0.25">
      <c r="A33" s="39" t="s">
        <v>115</v>
      </c>
      <c r="C33" s="134">
        <v>241000</v>
      </c>
      <c r="D33" s="56">
        <v>265000</v>
      </c>
      <c r="E33" s="126">
        <v>265000</v>
      </c>
      <c r="F33" s="126">
        <v>302000</v>
      </c>
      <c r="G33" s="126">
        <v>302000</v>
      </c>
      <c r="H33" s="126">
        <v>285000</v>
      </c>
      <c r="I33" s="126">
        <v>314000</v>
      </c>
      <c r="J33" s="126">
        <v>290266</v>
      </c>
      <c r="K33" s="126">
        <v>261800</v>
      </c>
      <c r="L33" s="126">
        <v>298502</v>
      </c>
      <c r="M33" s="148">
        <f t="shared" si="18"/>
        <v>282457</v>
      </c>
      <c r="N33" s="55">
        <f t="shared" si="19"/>
        <v>282000</v>
      </c>
      <c r="O33" s="55">
        <f t="shared" si="20"/>
        <v>283523</v>
      </c>
      <c r="P33" s="55">
        <f t="shared" si="21"/>
        <v>284000</v>
      </c>
      <c r="Q33" s="55"/>
      <c r="R33" s="55"/>
    </row>
    <row r="34" spans="1:18" ht="15" x14ac:dyDescent="0.25">
      <c r="A34" s="39" t="s">
        <v>46</v>
      </c>
      <c r="C34" s="134">
        <v>120000</v>
      </c>
      <c r="D34" s="56">
        <v>120000</v>
      </c>
      <c r="E34" s="126">
        <v>120000</v>
      </c>
      <c r="F34" s="126">
        <v>0</v>
      </c>
      <c r="G34" s="126">
        <v>0</v>
      </c>
      <c r="H34" s="126">
        <v>0</v>
      </c>
      <c r="I34" s="126">
        <v>0</v>
      </c>
      <c r="J34" s="126">
        <v>0</v>
      </c>
      <c r="K34" s="126">
        <v>0</v>
      </c>
      <c r="L34" s="126">
        <v>0</v>
      </c>
      <c r="M34" s="148">
        <f t="shared" si="18"/>
        <v>36000</v>
      </c>
      <c r="N34" s="55">
        <f t="shared" si="19"/>
        <v>36000</v>
      </c>
      <c r="O34" s="55">
        <f t="shared" si="20"/>
        <v>0</v>
      </c>
      <c r="P34" s="55">
        <f t="shared" si="21"/>
        <v>0</v>
      </c>
      <c r="Q34" s="55"/>
      <c r="R34" s="55"/>
    </row>
    <row r="35" spans="1:18" ht="15" x14ac:dyDescent="0.25">
      <c r="A35" s="39" t="s">
        <v>47</v>
      </c>
      <c r="C35" s="134">
        <v>22950</v>
      </c>
      <c r="D35" s="56">
        <v>15300</v>
      </c>
      <c r="E35" s="126">
        <v>7650</v>
      </c>
      <c r="F35" s="126">
        <v>0</v>
      </c>
      <c r="G35" s="126">
        <v>0</v>
      </c>
      <c r="H35" s="126">
        <v>0</v>
      </c>
      <c r="I35" s="126">
        <v>0</v>
      </c>
      <c r="J35" s="126">
        <v>0</v>
      </c>
      <c r="K35" s="126">
        <v>0</v>
      </c>
      <c r="L35" s="126">
        <v>0</v>
      </c>
      <c r="M35" s="148">
        <f t="shared" si="18"/>
        <v>4590</v>
      </c>
      <c r="N35" s="55">
        <f t="shared" si="19"/>
        <v>5000</v>
      </c>
      <c r="O35" s="55">
        <f t="shared" si="20"/>
        <v>0</v>
      </c>
      <c r="P35" s="55">
        <f t="shared" si="21"/>
        <v>0</v>
      </c>
      <c r="Q35" s="55"/>
      <c r="R35" s="55"/>
    </row>
    <row r="36" spans="1:18" ht="15" x14ac:dyDescent="0.25">
      <c r="A36" s="39" t="s">
        <v>126</v>
      </c>
      <c r="C36" s="134">
        <v>0</v>
      </c>
      <c r="D36" s="56">
        <v>0</v>
      </c>
      <c r="E36" s="126">
        <v>0</v>
      </c>
      <c r="F36" s="126">
        <v>0</v>
      </c>
      <c r="G36" s="126">
        <v>0</v>
      </c>
      <c r="H36" s="126">
        <v>0</v>
      </c>
      <c r="I36" s="126">
        <v>6108</v>
      </c>
      <c r="J36" s="126">
        <v>9107</v>
      </c>
      <c r="K36" s="126">
        <v>6500</v>
      </c>
      <c r="L36" s="126">
        <v>7717</v>
      </c>
      <c r="M36" s="148">
        <f t="shared" si="18"/>
        <v>2943</v>
      </c>
      <c r="N36" s="55">
        <f t="shared" si="19"/>
        <v>3000</v>
      </c>
      <c r="O36" s="55">
        <f t="shared" si="20"/>
        <v>7775</v>
      </c>
      <c r="P36" s="55">
        <f t="shared" si="21"/>
        <v>8000</v>
      </c>
      <c r="Q36" s="55"/>
      <c r="R36" s="55"/>
    </row>
    <row r="37" spans="1:18" ht="15" x14ac:dyDescent="0.25">
      <c r="A37" s="118" t="s">
        <v>48</v>
      </c>
      <c r="C37" s="136"/>
      <c r="D37" s="127"/>
      <c r="E37" s="127"/>
      <c r="F37" s="127"/>
      <c r="G37" s="127"/>
      <c r="H37" s="127"/>
      <c r="I37" s="127"/>
      <c r="J37" s="127"/>
      <c r="K37" s="127"/>
      <c r="L37" s="127"/>
      <c r="M37" s="150"/>
      <c r="O37" s="55"/>
      <c r="P37" s="55"/>
      <c r="Q37" s="55"/>
      <c r="R37" s="55"/>
    </row>
    <row r="38" spans="1:18" ht="15" x14ac:dyDescent="0.25">
      <c r="A38" s="39" t="s">
        <v>146</v>
      </c>
      <c r="C38" s="134">
        <v>906</v>
      </c>
      <c r="D38" s="56">
        <v>1753</v>
      </c>
      <c r="E38" s="126">
        <v>607</v>
      </c>
      <c r="F38" s="126">
        <v>2</v>
      </c>
      <c r="G38" s="126">
        <v>55</v>
      </c>
      <c r="H38" s="126">
        <v>209</v>
      </c>
      <c r="I38" s="126">
        <v>1141</v>
      </c>
      <c r="J38" s="126">
        <v>167</v>
      </c>
      <c r="K38" s="126">
        <v>187</v>
      </c>
      <c r="L38" s="126">
        <v>727</v>
      </c>
      <c r="M38" s="148">
        <f t="shared" si="18"/>
        <v>575</v>
      </c>
      <c r="N38" s="55">
        <f>ROUND(M38,-2)</f>
        <v>600</v>
      </c>
      <c r="O38" s="55">
        <f t="shared" ref="O38" si="22">ROUND(AVERAGE(J38:L38),0)</f>
        <v>360</v>
      </c>
      <c r="P38" s="55">
        <f>ROUND(O38,-2)</f>
        <v>400</v>
      </c>
      <c r="Q38" s="55"/>
      <c r="R38" s="55"/>
    </row>
    <row r="39" spans="1:18" ht="15.75" thickBot="1" x14ac:dyDescent="0.3">
      <c r="A39" s="49"/>
      <c r="C39" s="140"/>
      <c r="D39" s="141"/>
      <c r="E39" s="141"/>
      <c r="F39" s="141"/>
      <c r="G39" s="141"/>
      <c r="H39" s="141"/>
      <c r="I39" s="141"/>
      <c r="J39" s="141"/>
      <c r="K39" s="141"/>
      <c r="L39" s="141"/>
      <c r="M39" s="149"/>
    </row>
    <row r="40" spans="1:18" ht="15" x14ac:dyDescent="0.25">
      <c r="C40" s="129">
        <f t="shared" ref="C40:L40" si="23">SUM(C20:C39)</f>
        <v>2743605</v>
      </c>
      <c r="D40" s="129">
        <f t="shared" si="23"/>
        <v>2753484</v>
      </c>
      <c r="E40" s="129">
        <f t="shared" si="23"/>
        <v>2681778</v>
      </c>
      <c r="F40" s="129">
        <f t="shared" si="23"/>
        <v>2844502</v>
      </c>
      <c r="G40" s="129">
        <f t="shared" si="23"/>
        <v>2761625</v>
      </c>
      <c r="H40" s="129">
        <f t="shared" si="23"/>
        <v>2657193</v>
      </c>
      <c r="I40" s="129">
        <f t="shared" si="23"/>
        <v>2646254</v>
      </c>
      <c r="J40" s="129">
        <f t="shared" si="23"/>
        <v>2526750</v>
      </c>
      <c r="K40" s="129">
        <f t="shared" si="23"/>
        <v>2735486</v>
      </c>
      <c r="L40" s="129">
        <f t="shared" si="23"/>
        <v>2591820</v>
      </c>
      <c r="M40" s="148">
        <f t="shared" ref="M40" si="24">ROUND(AVERAGE(C40:L40),0)</f>
        <v>2694250</v>
      </c>
      <c r="N40" s="55">
        <f t="shared" ref="N40" si="25">ROUND(M40,-3)</f>
        <v>2694000</v>
      </c>
      <c r="O40" s="55">
        <f t="shared" ref="O40" si="26">ROUND(AVERAGE(J40:L40),0)</f>
        <v>2618019</v>
      </c>
      <c r="P40" s="55">
        <f t="shared" ref="P40" si="27">ROUND(O40,-3)</f>
        <v>2618000</v>
      </c>
    </row>
  </sheetData>
  <pageMargins left="0.7" right="0.7" top="0.75" bottom="0.75" header="0.3" footer="0.3"/>
  <pageSetup scale="64" fitToHeight="0"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W108"/>
  <sheetViews>
    <sheetView windowProtection="1" tabSelected="1" topLeftCell="A16" zoomScale="85" zoomScaleNormal="85" workbookViewId="0">
      <pane xSplit="3600" ySplit="6645" topLeftCell="A64" activePane="bottomRight"/>
      <selection activeCell="A58" sqref="A58"/>
      <selection pane="topRight" activeCell="AX8" sqref="AX8"/>
      <selection pane="bottomLeft" activeCell="A98" sqref="A98"/>
      <selection pane="bottomRight" activeCell="F68" sqref="F68"/>
    </sheetView>
  </sheetViews>
  <sheetFormatPr defaultRowHeight="12.75" x14ac:dyDescent="0.2"/>
  <cols>
    <col min="1" max="1" width="35.28515625" customWidth="1"/>
    <col min="2" max="2" width="41" hidden="1" customWidth="1"/>
    <col min="3" max="3" width="12.42578125" hidden="1" customWidth="1"/>
    <col min="4" max="4" width="14.28515625" bestFit="1" customWidth="1"/>
    <col min="5" max="7" width="11.28515625" bestFit="1" customWidth="1"/>
    <col min="8" max="8" width="12.28515625" customWidth="1"/>
    <col min="9" max="9" width="12.5703125" bestFit="1" customWidth="1"/>
    <col min="10" max="10" width="11.85546875" customWidth="1"/>
    <col min="11" max="11" width="14.28515625" bestFit="1" customWidth="1"/>
    <col min="12" max="12" width="12.7109375" customWidth="1"/>
    <col min="13" max="13" width="11.42578125" customWidth="1"/>
    <col min="14" max="14" width="12.28515625" customWidth="1"/>
    <col min="15" max="15" width="10.140625" bestFit="1" customWidth="1"/>
    <col min="16" max="17" width="10.85546875" bestFit="1" customWidth="1"/>
    <col min="18" max="20" width="10.7109375" bestFit="1" customWidth="1"/>
    <col min="21" max="24" width="11.7109375" customWidth="1"/>
    <col min="25" max="49" width="11.7109375" bestFit="1" customWidth="1"/>
  </cols>
  <sheetData>
    <row r="1" spans="1:49" ht="51" x14ac:dyDescent="0.2">
      <c r="A1" t="s">
        <v>52</v>
      </c>
      <c r="B1" s="104" t="s">
        <v>137</v>
      </c>
      <c r="P1" s="104" t="s">
        <v>163</v>
      </c>
      <c r="Q1" s="104" t="s">
        <v>164</v>
      </c>
      <c r="S1" s="104" t="s">
        <v>182</v>
      </c>
      <c r="T1" s="104" t="s">
        <v>172</v>
      </c>
      <c r="U1" s="201" t="s">
        <v>186</v>
      </c>
      <c r="V1" s="201" t="s">
        <v>184</v>
      </c>
      <c r="W1" s="201" t="s">
        <v>185</v>
      </c>
      <c r="X1" s="201" t="s">
        <v>187</v>
      </c>
      <c r="Y1" s="104" t="s">
        <v>183</v>
      </c>
      <c r="AW1" s="104" t="s">
        <v>196</v>
      </c>
    </row>
    <row r="2" spans="1:49" ht="13.5" thickBot="1" x14ac:dyDescent="0.25"/>
    <row r="3" spans="1:49" x14ac:dyDescent="0.2">
      <c r="A3" s="9" t="s">
        <v>24</v>
      </c>
      <c r="B3" s="102"/>
      <c r="C3" s="117">
        <v>2004</v>
      </c>
      <c r="D3" s="183">
        <v>2005</v>
      </c>
      <c r="E3" s="183">
        <v>2006</v>
      </c>
      <c r="F3" s="183">
        <v>2007</v>
      </c>
      <c r="G3" s="183">
        <v>2008</v>
      </c>
      <c r="H3" s="183">
        <v>2009</v>
      </c>
      <c r="I3" s="183">
        <v>2010</v>
      </c>
      <c r="J3" s="183">
        <v>2011</v>
      </c>
      <c r="K3" s="183">
        <v>2012</v>
      </c>
      <c r="L3" s="183">
        <v>2013</v>
      </c>
      <c r="M3" s="183">
        <v>2014</v>
      </c>
      <c r="N3" s="208">
        <v>2015</v>
      </c>
      <c r="O3" s="183">
        <v>2016</v>
      </c>
      <c r="P3" s="183">
        <v>2017</v>
      </c>
      <c r="Q3" s="183">
        <v>2018</v>
      </c>
      <c r="R3" s="183">
        <v>2019</v>
      </c>
      <c r="S3" s="183">
        <v>2020</v>
      </c>
      <c r="T3" s="183">
        <v>2021</v>
      </c>
      <c r="U3" s="183">
        <v>2022</v>
      </c>
      <c r="V3" s="183">
        <v>2023</v>
      </c>
      <c r="W3" s="183">
        <v>2024</v>
      </c>
      <c r="X3" s="183">
        <v>2025</v>
      </c>
      <c r="Y3" s="183">
        <v>2026</v>
      </c>
      <c r="Z3" s="183">
        <v>2027</v>
      </c>
      <c r="AA3" s="183">
        <v>2028</v>
      </c>
      <c r="AB3" s="183">
        <v>2029</v>
      </c>
      <c r="AC3" s="183">
        <v>2030</v>
      </c>
      <c r="AD3" s="183">
        <v>2031</v>
      </c>
      <c r="AE3" s="183">
        <v>2032</v>
      </c>
      <c r="AF3" s="183">
        <v>2033</v>
      </c>
      <c r="AG3" s="183">
        <v>2034</v>
      </c>
      <c r="AH3" s="183">
        <v>2035</v>
      </c>
      <c r="AI3" s="183">
        <v>2036</v>
      </c>
      <c r="AJ3" s="183">
        <v>2037</v>
      </c>
      <c r="AK3" s="183">
        <v>2038</v>
      </c>
      <c r="AL3" s="183">
        <v>2039</v>
      </c>
      <c r="AM3" s="183">
        <v>2040</v>
      </c>
      <c r="AN3" s="183">
        <v>2041</v>
      </c>
      <c r="AO3" s="183">
        <v>2042</v>
      </c>
      <c r="AP3" s="183">
        <v>2043</v>
      </c>
      <c r="AQ3" s="183">
        <v>2044</v>
      </c>
      <c r="AR3" s="183">
        <v>2045</v>
      </c>
      <c r="AS3" s="183">
        <v>2046</v>
      </c>
      <c r="AT3" s="183">
        <v>2047</v>
      </c>
      <c r="AU3" s="183">
        <v>2048</v>
      </c>
      <c r="AV3" s="183">
        <v>2049</v>
      </c>
      <c r="AW3" s="183">
        <v>2050</v>
      </c>
    </row>
    <row r="4" spans="1:49" x14ac:dyDescent="0.2">
      <c r="A4" s="36"/>
      <c r="B4" s="37"/>
      <c r="C4" s="37"/>
      <c r="D4" s="37"/>
      <c r="N4" s="209"/>
    </row>
    <row r="5" spans="1:49" x14ac:dyDescent="0.2">
      <c r="A5" s="36" t="s">
        <v>38</v>
      </c>
      <c r="B5" s="105" t="s">
        <v>174</v>
      </c>
      <c r="C5" s="170">
        <v>6323</v>
      </c>
      <c r="D5" s="170">
        <v>6323</v>
      </c>
      <c r="E5" s="170">
        <v>6323</v>
      </c>
      <c r="F5" s="170">
        <v>6323</v>
      </c>
      <c r="G5" s="170">
        <v>6323</v>
      </c>
      <c r="H5" s="170">
        <v>6323</v>
      </c>
      <c r="I5" s="170">
        <v>6323</v>
      </c>
      <c r="J5" s="170">
        <v>6323</v>
      </c>
      <c r="K5" s="170">
        <v>6323</v>
      </c>
      <c r="L5" s="170">
        <v>6323</v>
      </c>
      <c r="M5" s="170">
        <v>6323</v>
      </c>
      <c r="N5" s="210">
        <v>6600</v>
      </c>
      <c r="O5" s="163">
        <v>6600</v>
      </c>
      <c r="P5" s="163">
        <v>6600</v>
      </c>
      <c r="Q5" s="163">
        <v>6600</v>
      </c>
      <c r="R5" s="163">
        <v>6600</v>
      </c>
      <c r="S5" s="163">
        <v>6600</v>
      </c>
      <c r="T5" s="163">
        <v>6600</v>
      </c>
      <c r="U5" s="163">
        <v>6600</v>
      </c>
      <c r="V5" s="163">
        <v>6600</v>
      </c>
      <c r="W5" s="163">
        <v>6600</v>
      </c>
      <c r="X5" s="163">
        <v>6600</v>
      </c>
      <c r="Y5" s="163">
        <v>6600</v>
      </c>
      <c r="Z5" s="163">
        <v>6600</v>
      </c>
      <c r="AA5" s="163">
        <v>6600</v>
      </c>
      <c r="AB5" s="163">
        <v>6600</v>
      </c>
      <c r="AC5" s="163">
        <v>6600</v>
      </c>
      <c r="AD5" s="163">
        <v>6600</v>
      </c>
      <c r="AE5" s="163">
        <v>6600</v>
      </c>
      <c r="AF5" s="163">
        <v>6600</v>
      </c>
      <c r="AG5" s="163">
        <v>6600</v>
      </c>
      <c r="AH5" s="163">
        <v>6600</v>
      </c>
      <c r="AI5" s="163">
        <v>6600</v>
      </c>
      <c r="AJ5" s="163">
        <v>6600</v>
      </c>
      <c r="AK5" s="163">
        <v>6600</v>
      </c>
      <c r="AL5" s="163">
        <v>6600</v>
      </c>
      <c r="AM5" s="163">
        <v>6600</v>
      </c>
      <c r="AN5" s="163">
        <v>6600</v>
      </c>
      <c r="AO5" s="163">
        <v>6600</v>
      </c>
      <c r="AP5" s="163">
        <v>6600</v>
      </c>
      <c r="AQ5" s="163">
        <v>6600</v>
      </c>
      <c r="AR5" s="163">
        <v>6600</v>
      </c>
      <c r="AS5" s="163">
        <v>6600</v>
      </c>
      <c r="AT5" s="163">
        <v>6600</v>
      </c>
      <c r="AU5" s="163">
        <v>6600</v>
      </c>
      <c r="AV5" s="163">
        <v>6600</v>
      </c>
      <c r="AW5" s="163">
        <v>6600</v>
      </c>
    </row>
    <row r="6" spans="1:49" s="200" customFormat="1" ht="13.5" customHeight="1" x14ac:dyDescent="0.3">
      <c r="A6" s="196" t="s">
        <v>179</v>
      </c>
      <c r="B6" s="197" t="s">
        <v>141</v>
      </c>
      <c r="C6" s="198"/>
      <c r="D6" s="199">
        <f>(+D12/C12)-1</f>
        <v>6.3014932126696843E-2</v>
      </c>
      <c r="E6" s="199">
        <f>(+E12/D12)-1</f>
        <v>-6.6906089271401292E-3</v>
      </c>
      <c r="F6" s="199">
        <f t="shared" ref="F6:L6" si="0">(+F12/E12)-1</f>
        <v>4.820819825630096E-2</v>
      </c>
      <c r="G6" s="199">
        <f t="shared" si="0"/>
        <v>2.053931230098005E-3</v>
      </c>
      <c r="H6" s="199">
        <f t="shared" si="0"/>
        <v>-2.3495908921223996E-2</v>
      </c>
      <c r="I6" s="199">
        <f t="shared" si="0"/>
        <v>5.9499263622975196E-3</v>
      </c>
      <c r="J6" s="199">
        <f t="shared" si="0"/>
        <v>-2.8696906113511722E-2</v>
      </c>
      <c r="K6" s="199">
        <f t="shared" si="0"/>
        <v>3.6426151810767138E-2</v>
      </c>
      <c r="L6" s="199">
        <f t="shared" si="0"/>
        <v>-2.2725388015309766E-2</v>
      </c>
      <c r="M6" s="199">
        <f>(M12/L12)-1</f>
        <v>-4.7094916383356944E-2</v>
      </c>
      <c r="N6" s="211">
        <f>(N12/M12)-1</f>
        <v>2.9378975106904015E-3</v>
      </c>
      <c r="O6" s="199">
        <f>(O12/N12)-1</f>
        <v>1.4473035748179042E-2</v>
      </c>
      <c r="P6" s="199">
        <f t="shared" ref="P6:AW6" si="1">(P12/O12)-1</f>
        <v>0.10000000000000009</v>
      </c>
      <c r="Q6" s="199">
        <f t="shared" si="1"/>
        <v>0.10000000000000009</v>
      </c>
      <c r="R6" s="199">
        <f t="shared" si="1"/>
        <v>0.10000000000000009</v>
      </c>
      <c r="S6" s="199">
        <f t="shared" si="1"/>
        <v>5.0000000000000044E-2</v>
      </c>
      <c r="T6" s="199">
        <f t="shared" si="1"/>
        <v>5.0000000000000044E-2</v>
      </c>
      <c r="U6" s="199">
        <f t="shared" si="1"/>
        <v>2.0000000000000018E-2</v>
      </c>
      <c r="V6" s="199">
        <f t="shared" si="1"/>
        <v>2.0000000000000018E-2</v>
      </c>
      <c r="W6" s="199">
        <f t="shared" si="1"/>
        <v>2.0000000000000018E-2</v>
      </c>
      <c r="X6" s="199">
        <f t="shared" si="1"/>
        <v>2.0000000000000018E-2</v>
      </c>
      <c r="Y6" s="199">
        <f t="shared" si="1"/>
        <v>2.0000000000000018E-2</v>
      </c>
      <c r="Z6" s="199">
        <f t="shared" si="1"/>
        <v>2.0000000000000018E-2</v>
      </c>
      <c r="AA6" s="199">
        <f t="shared" si="1"/>
        <v>2.0000000000000018E-2</v>
      </c>
      <c r="AB6" s="199">
        <f t="shared" si="1"/>
        <v>2.0000000000000018E-2</v>
      </c>
      <c r="AC6" s="199">
        <f t="shared" si="1"/>
        <v>2.0000000000000018E-2</v>
      </c>
      <c r="AD6" s="199">
        <f t="shared" si="1"/>
        <v>2.0000000000000018E-2</v>
      </c>
      <c r="AE6" s="199">
        <f t="shared" si="1"/>
        <v>2.0000000000000018E-2</v>
      </c>
      <c r="AF6" s="199">
        <f t="shared" si="1"/>
        <v>2.0000000000000018E-2</v>
      </c>
      <c r="AG6" s="199">
        <f t="shared" si="1"/>
        <v>2.0000000000000018E-2</v>
      </c>
      <c r="AH6" s="199">
        <f t="shared" si="1"/>
        <v>2.0000000000000018E-2</v>
      </c>
      <c r="AI6" s="199">
        <f t="shared" si="1"/>
        <v>2.0000000000000018E-2</v>
      </c>
      <c r="AJ6" s="199">
        <f t="shared" si="1"/>
        <v>2.0000000000000018E-2</v>
      </c>
      <c r="AK6" s="199">
        <f t="shared" si="1"/>
        <v>2.0000000000000018E-2</v>
      </c>
      <c r="AL6" s="199">
        <f t="shared" si="1"/>
        <v>2.0000000000000018E-2</v>
      </c>
      <c r="AM6" s="199">
        <f t="shared" si="1"/>
        <v>2.0000000000000018E-2</v>
      </c>
      <c r="AN6" s="199">
        <f t="shared" si="1"/>
        <v>2.0000000000000018E-2</v>
      </c>
      <c r="AO6" s="199">
        <f t="shared" si="1"/>
        <v>2.0000000000000018E-2</v>
      </c>
      <c r="AP6" s="199">
        <f t="shared" si="1"/>
        <v>2.0000000000000018E-2</v>
      </c>
      <c r="AQ6" s="199">
        <f t="shared" si="1"/>
        <v>2.0000000000000018E-2</v>
      </c>
      <c r="AR6" s="199">
        <f t="shared" si="1"/>
        <v>2.0000000000000018E-2</v>
      </c>
      <c r="AS6" s="199">
        <f t="shared" si="1"/>
        <v>2.0000000000000018E-2</v>
      </c>
      <c r="AT6" s="199">
        <f t="shared" si="1"/>
        <v>2.0000000000000018E-2</v>
      </c>
      <c r="AU6" s="199">
        <f t="shared" si="1"/>
        <v>2.0000000000000018E-2</v>
      </c>
      <c r="AV6" s="199">
        <f t="shared" si="1"/>
        <v>2.0000000000000018E-2</v>
      </c>
      <c r="AW6" s="199">
        <f t="shared" si="1"/>
        <v>2.0000000000000018E-2</v>
      </c>
    </row>
    <row r="7" spans="1:49" x14ac:dyDescent="0.2">
      <c r="A7" s="42" t="s">
        <v>178</v>
      </c>
      <c r="B7" s="105" t="s">
        <v>173</v>
      </c>
      <c r="C7" s="27"/>
      <c r="D7" s="52">
        <f>(+D54-D39-D40-D43-D44)/(+C54-C39-C40-C43-C44)-1</f>
        <v>2.0228935775584489E-2</v>
      </c>
      <c r="E7" s="52">
        <f>(+E54-E39-E40-E43-E44)/(+D54-D39-D40-D43-D44)-1</f>
        <v>8.2729268245487209E-3</v>
      </c>
      <c r="F7" s="52">
        <f t="shared" ref="F7:L7" si="2">(+F54-F39-F40-F43-F44)/(+E54-E39-E40-E43-E44)-1</f>
        <v>-2.9983598331373651E-2</v>
      </c>
      <c r="G7" s="52">
        <f t="shared" si="2"/>
        <v>0.14012079262196031</v>
      </c>
      <c r="H7" s="52">
        <f t="shared" si="2"/>
        <v>-3.5077449987006348E-2</v>
      </c>
      <c r="I7" s="52">
        <f t="shared" si="2"/>
        <v>-4.5807346141716221E-2</v>
      </c>
      <c r="J7" s="52">
        <f t="shared" si="2"/>
        <v>-5.0285536713866597E-3</v>
      </c>
      <c r="K7" s="52">
        <f t="shared" si="2"/>
        <v>-5.3289583716419675E-2</v>
      </c>
      <c r="L7" s="52">
        <f t="shared" si="2"/>
        <v>9.9836220460144398E-2</v>
      </c>
      <c r="M7" s="52">
        <f>(+M54-M39-M40-M43-M44)/(+L54-L39-L40-L43-L44)-1</f>
        <v>-6.3747576175748888E-2</v>
      </c>
      <c r="N7" s="212">
        <v>0</v>
      </c>
      <c r="O7" s="160">
        <v>0.02</v>
      </c>
      <c r="P7" s="160">
        <v>0.02</v>
      </c>
      <c r="Q7" s="160">
        <v>0.02</v>
      </c>
      <c r="R7" s="160">
        <v>0.02</v>
      </c>
      <c r="S7" s="160">
        <v>0.02</v>
      </c>
      <c r="T7" s="160">
        <v>0.02</v>
      </c>
      <c r="U7" s="160">
        <v>0.02</v>
      </c>
      <c r="V7" s="160">
        <v>0.02</v>
      </c>
      <c r="W7" s="160">
        <v>0.02</v>
      </c>
      <c r="X7" s="160">
        <v>0.02</v>
      </c>
      <c r="Y7" s="160">
        <v>0.02</v>
      </c>
      <c r="Z7" s="160">
        <v>0.02</v>
      </c>
      <c r="AA7" s="160">
        <v>0.02</v>
      </c>
      <c r="AB7" s="160">
        <v>0.02</v>
      </c>
      <c r="AC7" s="160">
        <v>0.02</v>
      </c>
      <c r="AD7" s="160">
        <v>0.02</v>
      </c>
      <c r="AE7" s="160">
        <v>0.02</v>
      </c>
      <c r="AF7" s="160">
        <v>0.02</v>
      </c>
      <c r="AG7" s="160">
        <v>0.02</v>
      </c>
      <c r="AH7" s="160">
        <v>0.02</v>
      </c>
      <c r="AI7" s="160">
        <v>0.02</v>
      </c>
      <c r="AJ7" s="160">
        <v>0.02</v>
      </c>
      <c r="AK7" s="160">
        <v>0.02</v>
      </c>
      <c r="AL7" s="160">
        <v>0.02</v>
      </c>
      <c r="AM7" s="160">
        <v>0.02</v>
      </c>
      <c r="AN7" s="160">
        <v>0.02</v>
      </c>
      <c r="AO7" s="160">
        <v>0.02</v>
      </c>
      <c r="AP7" s="160">
        <v>0.02</v>
      </c>
      <c r="AQ7" s="160">
        <v>0.02</v>
      </c>
      <c r="AR7" s="160">
        <v>0.02</v>
      </c>
      <c r="AS7" s="160">
        <v>0.02</v>
      </c>
      <c r="AT7" s="160">
        <v>0.02</v>
      </c>
      <c r="AU7" s="160">
        <v>0.02</v>
      </c>
      <c r="AV7" s="160">
        <v>0.02</v>
      </c>
      <c r="AW7" s="160">
        <v>0.02</v>
      </c>
    </row>
    <row r="8" spans="1:49" ht="15" x14ac:dyDescent="0.25">
      <c r="A8" s="42" t="s">
        <v>177</v>
      </c>
      <c r="B8" s="105" t="s">
        <v>173</v>
      </c>
      <c r="C8" s="103">
        <v>0</v>
      </c>
      <c r="D8" s="103">
        <v>0</v>
      </c>
      <c r="E8" s="103">
        <v>0</v>
      </c>
      <c r="F8" s="103">
        <v>0</v>
      </c>
      <c r="G8" s="103">
        <v>0</v>
      </c>
      <c r="H8" s="103">
        <v>0</v>
      </c>
      <c r="I8" s="103">
        <v>0</v>
      </c>
      <c r="J8" s="103">
        <v>0</v>
      </c>
      <c r="K8" s="103">
        <v>0</v>
      </c>
      <c r="L8" s="103">
        <v>0</v>
      </c>
      <c r="M8" s="103">
        <v>0</v>
      </c>
      <c r="N8" s="213">
        <v>0</v>
      </c>
      <c r="O8" s="173">
        <v>0</v>
      </c>
      <c r="P8" s="188">
        <v>0.1</v>
      </c>
      <c r="Q8" s="188">
        <v>0.1</v>
      </c>
      <c r="R8" s="188">
        <v>0.1</v>
      </c>
      <c r="S8" s="188">
        <v>0.05</v>
      </c>
      <c r="T8" s="188">
        <v>0.05</v>
      </c>
      <c r="U8" s="188">
        <v>0.02</v>
      </c>
      <c r="V8" s="188">
        <v>0.02</v>
      </c>
      <c r="W8" s="188">
        <v>0.02</v>
      </c>
      <c r="X8" s="188">
        <v>0.02</v>
      </c>
      <c r="Y8" s="188">
        <v>0.02</v>
      </c>
      <c r="Z8" s="188">
        <v>0.02</v>
      </c>
      <c r="AA8" s="188">
        <v>0.02</v>
      </c>
      <c r="AB8" s="188">
        <v>0.02</v>
      </c>
      <c r="AC8" s="188">
        <v>0.02</v>
      </c>
      <c r="AD8" s="188">
        <v>0.02</v>
      </c>
      <c r="AE8" s="188">
        <v>0.02</v>
      </c>
      <c r="AF8" s="188">
        <v>0.02</v>
      </c>
      <c r="AG8" s="188">
        <v>0.02</v>
      </c>
      <c r="AH8" s="188">
        <v>0.02</v>
      </c>
      <c r="AI8" s="188">
        <v>0.02</v>
      </c>
      <c r="AJ8" s="188">
        <v>0.02</v>
      </c>
      <c r="AK8" s="188">
        <v>0.02</v>
      </c>
      <c r="AL8" s="188">
        <v>0.02</v>
      </c>
      <c r="AM8" s="188">
        <v>0.02</v>
      </c>
      <c r="AN8" s="188">
        <v>0.02</v>
      </c>
      <c r="AO8" s="188">
        <v>0.02</v>
      </c>
      <c r="AP8" s="188">
        <v>0.02</v>
      </c>
      <c r="AQ8" s="188">
        <v>0.02</v>
      </c>
      <c r="AR8" s="173">
        <v>0.02</v>
      </c>
      <c r="AS8" s="173">
        <v>0.02</v>
      </c>
      <c r="AT8" s="173">
        <v>0.02</v>
      </c>
      <c r="AU8" s="204">
        <v>0.02</v>
      </c>
      <c r="AV8" s="173">
        <v>0.02</v>
      </c>
      <c r="AW8" s="173">
        <v>0.02</v>
      </c>
    </row>
    <row r="9" spans="1:49" x14ac:dyDescent="0.2">
      <c r="A9" s="42" t="s">
        <v>63</v>
      </c>
      <c r="B9" s="106" t="s">
        <v>136</v>
      </c>
      <c r="C9" s="88">
        <f>+C12/C5/12</f>
        <v>29.126469502873107</v>
      </c>
      <c r="D9" s="89">
        <f>(+D12/D5)/12</f>
        <v>30.96187200168696</v>
      </c>
      <c r="E9" s="89">
        <f>(+E12/E5)/12</f>
        <v>30.754718224471507</v>
      </c>
      <c r="F9" s="89">
        <f t="shared" ref="F9:L9" si="3">(+F12/F5)/12</f>
        <v>32.237347777953502</v>
      </c>
      <c r="G9" s="89">
        <f t="shared" si="3"/>
        <v>32.303561073330172</v>
      </c>
      <c r="H9" s="89">
        <f t="shared" si="3"/>
        <v>31.544559544520009</v>
      </c>
      <c r="I9" s="89">
        <f t="shared" si="3"/>
        <v>31.732247350941009</v>
      </c>
      <c r="J9" s="89">
        <f t="shared" si="3"/>
        <v>30.821630027940326</v>
      </c>
      <c r="K9" s="89">
        <f t="shared" si="3"/>
        <v>31.944343402393375</v>
      </c>
      <c r="L9" s="89">
        <f t="shared" si="3"/>
        <v>31.218395803679687</v>
      </c>
      <c r="M9" s="89">
        <f>(M12/M5)/12</f>
        <v>29.748168063682851</v>
      </c>
      <c r="N9" s="214">
        <f t="shared" ref="N9:AW9" si="4">(N12/N5)/12</f>
        <v>28.583375505050501</v>
      </c>
      <c r="O9" s="89">
        <f t="shared" si="4"/>
        <v>28.997063720538723</v>
      </c>
      <c r="P9" s="89">
        <f t="shared" si="4"/>
        <v>31.896770092592593</v>
      </c>
      <c r="Q9" s="89">
        <f t="shared" si="4"/>
        <v>35.086447101851853</v>
      </c>
      <c r="R9" s="89">
        <f t="shared" si="4"/>
        <v>38.595091812037047</v>
      </c>
      <c r="S9" s="89">
        <f t="shared" si="4"/>
        <v>40.5248464026389</v>
      </c>
      <c r="T9" s="89">
        <f t="shared" si="4"/>
        <v>42.551088722770849</v>
      </c>
      <c r="U9" s="89">
        <f t="shared" si="4"/>
        <v>43.402110497226261</v>
      </c>
      <c r="V9" s="89">
        <f t="shared" si="4"/>
        <v>44.270152707170787</v>
      </c>
      <c r="W9" s="89">
        <f t="shared" si="4"/>
        <v>45.155555761314197</v>
      </c>
      <c r="X9" s="89">
        <f t="shared" si="4"/>
        <v>46.058666876540485</v>
      </c>
      <c r="Y9" s="89">
        <f t="shared" si="4"/>
        <v>46.979840214071295</v>
      </c>
      <c r="Z9" s="89">
        <f t="shared" si="4"/>
        <v>47.919437018352731</v>
      </c>
      <c r="AA9" s="89">
        <f t="shared" si="4"/>
        <v>48.87782575871978</v>
      </c>
      <c r="AB9" s="89">
        <f t="shared" si="4"/>
        <v>49.855382273894179</v>
      </c>
      <c r="AC9" s="89">
        <f t="shared" si="4"/>
        <v>50.852489919372061</v>
      </c>
      <c r="AD9" s="89">
        <f t="shared" si="4"/>
        <v>51.869539717759501</v>
      </c>
      <c r="AE9" s="89">
        <f t="shared" si="4"/>
        <v>52.906930512114691</v>
      </c>
      <c r="AF9" s="89">
        <f t="shared" si="4"/>
        <v>53.965069122356986</v>
      </c>
      <c r="AG9" s="89">
        <f t="shared" si="4"/>
        <v>55.044370504804135</v>
      </c>
      <c r="AH9" s="89">
        <f t="shared" si="4"/>
        <v>56.145257914900213</v>
      </c>
      <c r="AI9" s="89">
        <f t="shared" si="4"/>
        <v>57.268163073198224</v>
      </c>
      <c r="AJ9" s="89">
        <f t="shared" si="4"/>
        <v>58.413526334662187</v>
      </c>
      <c r="AK9" s="89">
        <f t="shared" si="4"/>
        <v>59.581796861355429</v>
      </c>
      <c r="AL9" s="89">
        <f t="shared" si="4"/>
        <v>60.77343279858254</v>
      </c>
      <c r="AM9" s="89">
        <f t="shared" si="4"/>
        <v>61.988901454554188</v>
      </c>
      <c r="AN9" s="89">
        <f t="shared" si="4"/>
        <v>63.228679483645273</v>
      </c>
      <c r="AO9" s="89">
        <f t="shared" si="4"/>
        <v>64.493253073318186</v>
      </c>
      <c r="AP9" s="89">
        <f t="shared" si="4"/>
        <v>65.783118134784544</v>
      </c>
      <c r="AQ9" s="89">
        <f t="shared" si="4"/>
        <v>67.098780497480234</v>
      </c>
      <c r="AR9" s="89">
        <f t="shared" si="4"/>
        <v>68.440756107429863</v>
      </c>
      <c r="AS9" s="89">
        <f t="shared" si="4"/>
        <v>69.809571229578452</v>
      </c>
      <c r="AT9" s="89">
        <f t="shared" si="4"/>
        <v>71.20576265417003</v>
      </c>
      <c r="AU9" s="89">
        <f t="shared" si="4"/>
        <v>72.62987790725343</v>
      </c>
      <c r="AV9" s="89">
        <f t="shared" si="4"/>
        <v>74.082475465398502</v>
      </c>
      <c r="AW9" s="89">
        <f t="shared" si="4"/>
        <v>75.564124974706473</v>
      </c>
    </row>
    <row r="10" spans="1:49" ht="16.5" customHeight="1" thickBot="1" x14ac:dyDescent="0.25">
      <c r="A10" s="120" t="s">
        <v>50</v>
      </c>
      <c r="B10" s="107"/>
      <c r="C10" s="127" t="s">
        <v>112</v>
      </c>
      <c r="D10" s="127" t="s">
        <v>112</v>
      </c>
      <c r="E10" s="127" t="s">
        <v>112</v>
      </c>
      <c r="F10" s="127" t="s">
        <v>112</v>
      </c>
      <c r="G10" s="127" t="s">
        <v>112</v>
      </c>
      <c r="H10" s="127" t="s">
        <v>112</v>
      </c>
      <c r="I10" s="127" t="s">
        <v>112</v>
      </c>
      <c r="J10" s="127" t="s">
        <v>112</v>
      </c>
      <c r="K10" s="127" t="s">
        <v>112</v>
      </c>
      <c r="L10" s="127" t="s">
        <v>112</v>
      </c>
      <c r="M10" s="127" t="s">
        <v>112</v>
      </c>
      <c r="N10" s="127" t="s">
        <v>112</v>
      </c>
      <c r="O10" s="112" t="s">
        <v>154</v>
      </c>
      <c r="P10" s="112" t="s">
        <v>154</v>
      </c>
      <c r="Q10" s="112" t="s">
        <v>154</v>
      </c>
      <c r="R10" s="112" t="s">
        <v>154</v>
      </c>
      <c r="S10" s="112" t="s">
        <v>154</v>
      </c>
      <c r="T10" s="112" t="s">
        <v>154</v>
      </c>
      <c r="U10" s="112" t="s">
        <v>154</v>
      </c>
      <c r="V10" s="112" t="s">
        <v>154</v>
      </c>
      <c r="W10" s="112" t="s">
        <v>154</v>
      </c>
      <c r="X10" s="112" t="s">
        <v>154</v>
      </c>
      <c r="Y10" s="112" t="s">
        <v>154</v>
      </c>
      <c r="Z10" s="112" t="s">
        <v>154</v>
      </c>
      <c r="AA10" s="112" t="s">
        <v>154</v>
      </c>
      <c r="AB10" s="112" t="s">
        <v>154</v>
      </c>
      <c r="AC10" s="112" t="s">
        <v>154</v>
      </c>
      <c r="AD10" s="112" t="s">
        <v>154</v>
      </c>
      <c r="AE10" s="112" t="s">
        <v>154</v>
      </c>
      <c r="AF10" s="112" t="s">
        <v>154</v>
      </c>
      <c r="AG10" s="112" t="s">
        <v>154</v>
      </c>
      <c r="AH10" s="112" t="s">
        <v>154</v>
      </c>
      <c r="AI10" s="112" t="s">
        <v>154</v>
      </c>
      <c r="AJ10" s="112" t="s">
        <v>154</v>
      </c>
      <c r="AK10" s="112" t="s">
        <v>154</v>
      </c>
      <c r="AL10" s="112" t="s">
        <v>154</v>
      </c>
      <c r="AM10" s="112" t="s">
        <v>154</v>
      </c>
      <c r="AN10" s="112" t="s">
        <v>154</v>
      </c>
      <c r="AO10" s="112" t="s">
        <v>154</v>
      </c>
      <c r="AP10" s="112" t="s">
        <v>154</v>
      </c>
      <c r="AQ10" s="112" t="s">
        <v>154</v>
      </c>
      <c r="AR10" s="112" t="s">
        <v>154</v>
      </c>
      <c r="AS10" s="112" t="s">
        <v>154</v>
      </c>
      <c r="AT10" s="112" t="s">
        <v>154</v>
      </c>
      <c r="AU10" s="112" t="s">
        <v>154</v>
      </c>
      <c r="AV10" s="112" t="s">
        <v>154</v>
      </c>
      <c r="AW10" s="112" t="s">
        <v>154</v>
      </c>
    </row>
    <row r="11" spans="1:49" ht="15" x14ac:dyDescent="0.25">
      <c r="A11" s="42" t="s">
        <v>29</v>
      </c>
      <c r="B11" s="108"/>
      <c r="C11" s="31">
        <v>25000</v>
      </c>
      <c r="D11" s="130">
        <v>23834</v>
      </c>
      <c r="E11" s="131">
        <v>29711</v>
      </c>
      <c r="F11" s="131">
        <v>18469</v>
      </c>
      <c r="G11" s="131">
        <v>10328</v>
      </c>
      <c r="H11" s="131">
        <v>13032</v>
      </c>
      <c r="I11" s="131">
        <v>21080</v>
      </c>
      <c r="J11" s="131">
        <v>17722</v>
      </c>
      <c r="K11" s="190">
        <v>23670</v>
      </c>
      <c r="L11" s="191">
        <v>18353</v>
      </c>
      <c r="M11" s="191">
        <v>29899</v>
      </c>
      <c r="N11" s="216">
        <v>25172.81</v>
      </c>
      <c r="O11" s="207">
        <f>AVERAGE(L11:N11)</f>
        <v>24474.936666666665</v>
      </c>
      <c r="P11" s="152">
        <f>ROUND(O11,-2)</f>
        <v>24500</v>
      </c>
      <c r="Q11" s="152">
        <f>P11</f>
        <v>24500</v>
      </c>
      <c r="R11" s="152">
        <f t="shared" ref="R11:AW11" si="5">Q11</f>
        <v>24500</v>
      </c>
      <c r="S11" s="152">
        <f t="shared" si="5"/>
        <v>24500</v>
      </c>
      <c r="T11" s="152">
        <f t="shared" si="5"/>
        <v>24500</v>
      </c>
      <c r="U11" s="152">
        <f t="shared" si="5"/>
        <v>24500</v>
      </c>
      <c r="V11" s="152">
        <f t="shared" si="5"/>
        <v>24500</v>
      </c>
      <c r="W11" s="152">
        <f t="shared" si="5"/>
        <v>24500</v>
      </c>
      <c r="X11" s="152">
        <f t="shared" si="5"/>
        <v>24500</v>
      </c>
      <c r="Y11" s="152">
        <f t="shared" si="5"/>
        <v>24500</v>
      </c>
      <c r="Z11" s="152">
        <f t="shared" si="5"/>
        <v>24500</v>
      </c>
      <c r="AA11" s="152">
        <f t="shared" si="5"/>
        <v>24500</v>
      </c>
      <c r="AB11" s="152">
        <f t="shared" si="5"/>
        <v>24500</v>
      </c>
      <c r="AC11" s="152">
        <f t="shared" si="5"/>
        <v>24500</v>
      </c>
      <c r="AD11" s="152">
        <f t="shared" si="5"/>
        <v>24500</v>
      </c>
      <c r="AE11" s="152">
        <f t="shared" si="5"/>
        <v>24500</v>
      </c>
      <c r="AF11" s="152">
        <f t="shared" si="5"/>
        <v>24500</v>
      </c>
      <c r="AG11" s="152">
        <f t="shared" si="5"/>
        <v>24500</v>
      </c>
      <c r="AH11" s="152">
        <f t="shared" si="5"/>
        <v>24500</v>
      </c>
      <c r="AI11" s="152">
        <f t="shared" si="5"/>
        <v>24500</v>
      </c>
      <c r="AJ11" s="152">
        <f t="shared" si="5"/>
        <v>24500</v>
      </c>
      <c r="AK11" s="152">
        <f t="shared" si="5"/>
        <v>24500</v>
      </c>
      <c r="AL11" s="152">
        <f t="shared" si="5"/>
        <v>24500</v>
      </c>
      <c r="AM11" s="152">
        <f t="shared" si="5"/>
        <v>24500</v>
      </c>
      <c r="AN11" s="152">
        <f t="shared" si="5"/>
        <v>24500</v>
      </c>
      <c r="AO11" s="152">
        <f t="shared" si="5"/>
        <v>24500</v>
      </c>
      <c r="AP11" s="152">
        <f t="shared" si="5"/>
        <v>24500</v>
      </c>
      <c r="AQ11" s="152">
        <f t="shared" si="5"/>
        <v>24500</v>
      </c>
      <c r="AR11" s="152">
        <f t="shared" si="5"/>
        <v>24500</v>
      </c>
      <c r="AS11" s="152">
        <f t="shared" si="5"/>
        <v>24500</v>
      </c>
      <c r="AT11" s="152">
        <f t="shared" si="5"/>
        <v>24500</v>
      </c>
      <c r="AU11" s="152">
        <f t="shared" si="5"/>
        <v>24500</v>
      </c>
      <c r="AV11" s="152">
        <f t="shared" si="5"/>
        <v>24500</v>
      </c>
      <c r="AW11" s="152">
        <f t="shared" si="5"/>
        <v>24500</v>
      </c>
    </row>
    <row r="12" spans="1:49" ht="15" x14ac:dyDescent="0.25">
      <c r="A12" s="42" t="s">
        <v>30</v>
      </c>
      <c r="B12" s="108" t="s">
        <v>140</v>
      </c>
      <c r="C12" s="31">
        <v>2210000</v>
      </c>
      <c r="D12" s="134">
        <v>2349263</v>
      </c>
      <c r="E12" s="56">
        <v>2333545</v>
      </c>
      <c r="F12" s="56">
        <v>2446041</v>
      </c>
      <c r="G12" s="56">
        <v>2451065</v>
      </c>
      <c r="H12" s="56">
        <v>2393475</v>
      </c>
      <c r="I12" s="56">
        <v>2407716</v>
      </c>
      <c r="J12" s="56">
        <v>2338622</v>
      </c>
      <c r="K12" s="178">
        <v>2423809</v>
      </c>
      <c r="L12" s="179">
        <v>2368727</v>
      </c>
      <c r="M12" s="179">
        <v>2257172</v>
      </c>
      <c r="N12" s="217">
        <v>2263803.34</v>
      </c>
      <c r="O12" s="207">
        <f t="shared" ref="O12:O19" si="6">AVERAGE(L12:N12)</f>
        <v>2296567.4466666668</v>
      </c>
      <c r="P12" s="152">
        <f t="shared" ref="P12:Q12" si="7">+O12*(1+P$8)</f>
        <v>2526224.1913333335</v>
      </c>
      <c r="Q12" s="152">
        <f t="shared" si="7"/>
        <v>2778846.610466667</v>
      </c>
      <c r="R12" s="152">
        <f t="shared" ref="R12:AW12" si="8">+Q12*(1+R$8)</f>
        <v>3056731.271513334</v>
      </c>
      <c r="S12" s="152">
        <f t="shared" si="8"/>
        <v>3209567.8350890009</v>
      </c>
      <c r="T12" s="152">
        <f t="shared" si="8"/>
        <v>3370046.2268434511</v>
      </c>
      <c r="U12" s="152">
        <f t="shared" si="8"/>
        <v>3437447.1513803201</v>
      </c>
      <c r="V12" s="152">
        <f t="shared" si="8"/>
        <v>3506196.0944079263</v>
      </c>
      <c r="W12" s="152">
        <f t="shared" si="8"/>
        <v>3576320.016296085</v>
      </c>
      <c r="X12" s="152">
        <f t="shared" si="8"/>
        <v>3647846.4166220068</v>
      </c>
      <c r="Y12" s="152">
        <f t="shared" si="8"/>
        <v>3720803.3449544469</v>
      </c>
      <c r="Z12" s="152">
        <f t="shared" si="8"/>
        <v>3795219.411853536</v>
      </c>
      <c r="AA12" s="152">
        <f t="shared" si="8"/>
        <v>3871123.8000906068</v>
      </c>
      <c r="AB12" s="152">
        <f t="shared" si="8"/>
        <v>3948546.2760924189</v>
      </c>
      <c r="AC12" s="152">
        <f t="shared" si="8"/>
        <v>4027517.2016142672</v>
      </c>
      <c r="AD12" s="152">
        <f t="shared" si="8"/>
        <v>4108067.5456465525</v>
      </c>
      <c r="AE12" s="152">
        <f t="shared" si="8"/>
        <v>4190228.8965594834</v>
      </c>
      <c r="AF12" s="152">
        <f t="shared" si="8"/>
        <v>4274033.4744906733</v>
      </c>
      <c r="AG12" s="152">
        <f t="shared" si="8"/>
        <v>4359514.1439804872</v>
      </c>
      <c r="AH12" s="152">
        <f t="shared" si="8"/>
        <v>4446704.4268600969</v>
      </c>
      <c r="AI12" s="152">
        <f t="shared" si="8"/>
        <v>4535638.5153972991</v>
      </c>
      <c r="AJ12" s="152">
        <f t="shared" si="8"/>
        <v>4626351.2857052451</v>
      </c>
      <c r="AK12" s="152">
        <f t="shared" si="8"/>
        <v>4718878.3114193501</v>
      </c>
      <c r="AL12" s="152">
        <f t="shared" si="8"/>
        <v>4813255.877647737</v>
      </c>
      <c r="AM12" s="152">
        <f t="shared" si="8"/>
        <v>4909520.9952006917</v>
      </c>
      <c r="AN12" s="152">
        <f t="shared" si="8"/>
        <v>5007711.4151047058</v>
      </c>
      <c r="AO12" s="152">
        <f t="shared" si="8"/>
        <v>5107865.6434068</v>
      </c>
      <c r="AP12" s="152">
        <f t="shared" si="8"/>
        <v>5210022.956274936</v>
      </c>
      <c r="AQ12" s="152">
        <f t="shared" si="8"/>
        <v>5314223.4154004352</v>
      </c>
      <c r="AR12" s="152">
        <f t="shared" si="8"/>
        <v>5420507.8837084444</v>
      </c>
      <c r="AS12" s="152">
        <f t="shared" si="8"/>
        <v>5528918.0413826136</v>
      </c>
      <c r="AT12" s="152">
        <f t="shared" si="8"/>
        <v>5639496.4022102663</v>
      </c>
      <c r="AU12" s="152">
        <f t="shared" si="8"/>
        <v>5752286.3302544719</v>
      </c>
      <c r="AV12" s="152">
        <f t="shared" si="8"/>
        <v>5867332.0568595612</v>
      </c>
      <c r="AW12" s="152">
        <f t="shared" si="8"/>
        <v>5984678.6979967523</v>
      </c>
    </row>
    <row r="13" spans="1:49" ht="15" x14ac:dyDescent="0.25">
      <c r="A13" s="42" t="s">
        <v>26</v>
      </c>
      <c r="B13" s="108" t="s">
        <v>128</v>
      </c>
      <c r="C13" s="31">
        <v>25000</v>
      </c>
      <c r="D13" s="134">
        <v>7307</v>
      </c>
      <c r="E13" s="56">
        <v>9150</v>
      </c>
      <c r="F13" s="56">
        <v>13753</v>
      </c>
      <c r="G13" s="56">
        <v>17876</v>
      </c>
      <c r="H13" s="56">
        <v>9981</v>
      </c>
      <c r="I13" s="56">
        <v>3941</v>
      </c>
      <c r="J13" s="56">
        <v>2880</v>
      </c>
      <c r="K13" s="178">
        <v>2875</v>
      </c>
      <c r="L13" s="179">
        <v>1014</v>
      </c>
      <c r="M13" s="179">
        <v>2428</v>
      </c>
      <c r="N13" s="217">
        <v>3047.63</v>
      </c>
      <c r="O13" s="207">
        <f t="shared" si="6"/>
        <v>2163.21</v>
      </c>
      <c r="P13" s="152">
        <f>ROUND(O13,-2)</f>
        <v>2200</v>
      </c>
      <c r="Q13" s="152">
        <f t="shared" ref="Q13:AW13" si="9">P13</f>
        <v>2200</v>
      </c>
      <c r="R13" s="152">
        <f t="shared" si="9"/>
        <v>2200</v>
      </c>
      <c r="S13" s="152">
        <f t="shared" si="9"/>
        <v>2200</v>
      </c>
      <c r="T13" s="152">
        <f t="shared" si="9"/>
        <v>2200</v>
      </c>
      <c r="U13" s="152">
        <f t="shared" si="9"/>
        <v>2200</v>
      </c>
      <c r="V13" s="152">
        <f t="shared" si="9"/>
        <v>2200</v>
      </c>
      <c r="W13" s="152">
        <f t="shared" si="9"/>
        <v>2200</v>
      </c>
      <c r="X13" s="152">
        <f t="shared" si="9"/>
        <v>2200</v>
      </c>
      <c r="Y13" s="152">
        <f t="shared" si="9"/>
        <v>2200</v>
      </c>
      <c r="Z13" s="152">
        <f t="shared" si="9"/>
        <v>2200</v>
      </c>
      <c r="AA13" s="152">
        <f t="shared" si="9"/>
        <v>2200</v>
      </c>
      <c r="AB13" s="152">
        <f t="shared" si="9"/>
        <v>2200</v>
      </c>
      <c r="AC13" s="152">
        <f t="shared" si="9"/>
        <v>2200</v>
      </c>
      <c r="AD13" s="152">
        <f t="shared" si="9"/>
        <v>2200</v>
      </c>
      <c r="AE13" s="152">
        <f t="shared" si="9"/>
        <v>2200</v>
      </c>
      <c r="AF13" s="152">
        <f t="shared" si="9"/>
        <v>2200</v>
      </c>
      <c r="AG13" s="152">
        <f t="shared" si="9"/>
        <v>2200</v>
      </c>
      <c r="AH13" s="152">
        <f t="shared" si="9"/>
        <v>2200</v>
      </c>
      <c r="AI13" s="152">
        <f t="shared" si="9"/>
        <v>2200</v>
      </c>
      <c r="AJ13" s="152">
        <f t="shared" si="9"/>
        <v>2200</v>
      </c>
      <c r="AK13" s="152">
        <f t="shared" si="9"/>
        <v>2200</v>
      </c>
      <c r="AL13" s="152">
        <f t="shared" si="9"/>
        <v>2200</v>
      </c>
      <c r="AM13" s="152">
        <f t="shared" si="9"/>
        <v>2200</v>
      </c>
      <c r="AN13" s="152">
        <f t="shared" si="9"/>
        <v>2200</v>
      </c>
      <c r="AO13" s="152">
        <f t="shared" si="9"/>
        <v>2200</v>
      </c>
      <c r="AP13" s="152">
        <f t="shared" si="9"/>
        <v>2200</v>
      </c>
      <c r="AQ13" s="152">
        <f t="shared" si="9"/>
        <v>2200</v>
      </c>
      <c r="AR13" s="152">
        <f t="shared" si="9"/>
        <v>2200</v>
      </c>
      <c r="AS13" s="152">
        <f t="shared" si="9"/>
        <v>2200</v>
      </c>
      <c r="AT13" s="152">
        <f t="shared" si="9"/>
        <v>2200</v>
      </c>
      <c r="AU13" s="152">
        <f t="shared" si="9"/>
        <v>2200</v>
      </c>
      <c r="AV13" s="152">
        <f t="shared" si="9"/>
        <v>2200</v>
      </c>
      <c r="AW13" s="152">
        <f t="shared" si="9"/>
        <v>2200</v>
      </c>
    </row>
    <row r="14" spans="1:49" ht="15" x14ac:dyDescent="0.25">
      <c r="A14" s="42" t="s">
        <v>205</v>
      </c>
      <c r="B14" s="108" t="s">
        <v>132</v>
      </c>
      <c r="C14" s="31">
        <v>8000</v>
      </c>
      <c r="D14" s="134">
        <v>38471</v>
      </c>
      <c r="E14" s="56">
        <v>43231</v>
      </c>
      <c r="F14" s="56">
        <v>51232</v>
      </c>
      <c r="G14" s="56">
        <v>4597</v>
      </c>
      <c r="H14" s="56">
        <v>11889</v>
      </c>
      <c r="I14" s="56">
        <v>14680</v>
      </c>
      <c r="J14" s="56">
        <v>33525</v>
      </c>
      <c r="K14" s="178">
        <v>6653</v>
      </c>
      <c r="L14" s="179">
        <v>5279</v>
      </c>
      <c r="M14" s="179">
        <v>27682</v>
      </c>
      <c r="N14" s="217">
        <v>7569.06</v>
      </c>
      <c r="O14" s="207">
        <f t="shared" si="6"/>
        <v>13510.019999999999</v>
      </c>
      <c r="P14" s="152">
        <f>ROUND(O14,-2)</f>
        <v>13500</v>
      </c>
      <c r="Q14" s="152">
        <f t="shared" ref="Q14:AW14" si="10">P14</f>
        <v>13500</v>
      </c>
      <c r="R14" s="152">
        <f t="shared" si="10"/>
        <v>13500</v>
      </c>
      <c r="S14" s="152">
        <f t="shared" si="10"/>
        <v>13500</v>
      </c>
      <c r="T14" s="152">
        <f t="shared" si="10"/>
        <v>13500</v>
      </c>
      <c r="U14" s="152">
        <f t="shared" si="10"/>
        <v>13500</v>
      </c>
      <c r="V14" s="152">
        <f t="shared" si="10"/>
        <v>13500</v>
      </c>
      <c r="W14" s="152">
        <f t="shared" si="10"/>
        <v>13500</v>
      </c>
      <c r="X14" s="152">
        <f t="shared" si="10"/>
        <v>13500</v>
      </c>
      <c r="Y14" s="152">
        <f t="shared" si="10"/>
        <v>13500</v>
      </c>
      <c r="Z14" s="152">
        <f t="shared" si="10"/>
        <v>13500</v>
      </c>
      <c r="AA14" s="152">
        <f t="shared" si="10"/>
        <v>13500</v>
      </c>
      <c r="AB14" s="152">
        <f t="shared" si="10"/>
        <v>13500</v>
      </c>
      <c r="AC14" s="152">
        <f t="shared" si="10"/>
        <v>13500</v>
      </c>
      <c r="AD14" s="152">
        <f t="shared" si="10"/>
        <v>13500</v>
      </c>
      <c r="AE14" s="152">
        <f t="shared" si="10"/>
        <v>13500</v>
      </c>
      <c r="AF14" s="152">
        <f t="shared" si="10"/>
        <v>13500</v>
      </c>
      <c r="AG14" s="152">
        <f t="shared" si="10"/>
        <v>13500</v>
      </c>
      <c r="AH14" s="152">
        <f t="shared" si="10"/>
        <v>13500</v>
      </c>
      <c r="AI14" s="152">
        <f t="shared" si="10"/>
        <v>13500</v>
      </c>
      <c r="AJ14" s="152">
        <f t="shared" si="10"/>
        <v>13500</v>
      </c>
      <c r="AK14" s="152">
        <f t="shared" si="10"/>
        <v>13500</v>
      </c>
      <c r="AL14" s="152">
        <f t="shared" si="10"/>
        <v>13500</v>
      </c>
      <c r="AM14" s="152">
        <f t="shared" si="10"/>
        <v>13500</v>
      </c>
      <c r="AN14" s="152">
        <f t="shared" si="10"/>
        <v>13500</v>
      </c>
      <c r="AO14" s="152">
        <f t="shared" si="10"/>
        <v>13500</v>
      </c>
      <c r="AP14" s="152">
        <f t="shared" si="10"/>
        <v>13500</v>
      </c>
      <c r="AQ14" s="152">
        <f t="shared" si="10"/>
        <v>13500</v>
      </c>
      <c r="AR14" s="152">
        <f t="shared" si="10"/>
        <v>13500</v>
      </c>
      <c r="AS14" s="152">
        <f t="shared" si="10"/>
        <v>13500</v>
      </c>
      <c r="AT14" s="152">
        <f t="shared" si="10"/>
        <v>13500</v>
      </c>
      <c r="AU14" s="152">
        <f t="shared" si="10"/>
        <v>13500</v>
      </c>
      <c r="AV14" s="152">
        <f t="shared" si="10"/>
        <v>13500</v>
      </c>
      <c r="AW14" s="152">
        <f t="shared" si="10"/>
        <v>13500</v>
      </c>
    </row>
    <row r="15" spans="1:49" x14ac:dyDescent="0.2">
      <c r="A15" s="42" t="s">
        <v>32</v>
      </c>
      <c r="B15" s="108" t="s">
        <v>133</v>
      </c>
      <c r="C15" s="31">
        <v>250</v>
      </c>
      <c r="D15" s="134">
        <v>0</v>
      </c>
      <c r="E15" s="56">
        <v>0</v>
      </c>
      <c r="F15" s="126">
        <v>0</v>
      </c>
      <c r="G15" s="56">
        <v>0</v>
      </c>
      <c r="H15" s="56">
        <v>0</v>
      </c>
      <c r="I15" s="56">
        <v>0</v>
      </c>
      <c r="J15" s="56">
        <v>0</v>
      </c>
      <c r="K15" s="177">
        <v>1798</v>
      </c>
      <c r="L15" s="177">
        <v>748</v>
      </c>
      <c r="M15" s="177">
        <v>0</v>
      </c>
      <c r="N15" s="217">
        <v>0</v>
      </c>
      <c r="O15" s="152">
        <v>0</v>
      </c>
      <c r="P15" s="152">
        <f>O15</f>
        <v>0</v>
      </c>
      <c r="Q15" s="152">
        <f t="shared" ref="Q15:AW15" si="11">P15</f>
        <v>0</v>
      </c>
      <c r="R15" s="152">
        <f t="shared" si="11"/>
        <v>0</v>
      </c>
      <c r="S15" s="152">
        <f t="shared" si="11"/>
        <v>0</v>
      </c>
      <c r="T15" s="152">
        <f t="shared" si="11"/>
        <v>0</v>
      </c>
      <c r="U15" s="152">
        <f t="shared" si="11"/>
        <v>0</v>
      </c>
      <c r="V15" s="152">
        <f t="shared" si="11"/>
        <v>0</v>
      </c>
      <c r="W15" s="152">
        <f t="shared" si="11"/>
        <v>0</v>
      </c>
      <c r="X15" s="152">
        <f t="shared" si="11"/>
        <v>0</v>
      </c>
      <c r="Y15" s="152">
        <f t="shared" si="11"/>
        <v>0</v>
      </c>
      <c r="Z15" s="152">
        <f t="shared" si="11"/>
        <v>0</v>
      </c>
      <c r="AA15" s="152">
        <f t="shared" si="11"/>
        <v>0</v>
      </c>
      <c r="AB15" s="152">
        <f t="shared" si="11"/>
        <v>0</v>
      </c>
      <c r="AC15" s="152">
        <f t="shared" si="11"/>
        <v>0</v>
      </c>
      <c r="AD15" s="152">
        <f t="shared" si="11"/>
        <v>0</v>
      </c>
      <c r="AE15" s="152">
        <f t="shared" si="11"/>
        <v>0</v>
      </c>
      <c r="AF15" s="152">
        <f t="shared" si="11"/>
        <v>0</v>
      </c>
      <c r="AG15" s="152">
        <f t="shared" si="11"/>
        <v>0</v>
      </c>
      <c r="AH15" s="152">
        <f t="shared" si="11"/>
        <v>0</v>
      </c>
      <c r="AI15" s="152">
        <f t="shared" si="11"/>
        <v>0</v>
      </c>
      <c r="AJ15" s="152">
        <f t="shared" si="11"/>
        <v>0</v>
      </c>
      <c r="AK15" s="152">
        <f t="shared" si="11"/>
        <v>0</v>
      </c>
      <c r="AL15" s="152">
        <f t="shared" si="11"/>
        <v>0</v>
      </c>
      <c r="AM15" s="152">
        <f t="shared" si="11"/>
        <v>0</v>
      </c>
      <c r="AN15" s="152">
        <f t="shared" si="11"/>
        <v>0</v>
      </c>
      <c r="AO15" s="152">
        <f t="shared" si="11"/>
        <v>0</v>
      </c>
      <c r="AP15" s="152">
        <f t="shared" si="11"/>
        <v>0</v>
      </c>
      <c r="AQ15" s="152">
        <f t="shared" si="11"/>
        <v>0</v>
      </c>
      <c r="AR15" s="152">
        <f t="shared" si="11"/>
        <v>0</v>
      </c>
      <c r="AS15" s="152">
        <f t="shared" si="11"/>
        <v>0</v>
      </c>
      <c r="AT15" s="152">
        <f t="shared" si="11"/>
        <v>0</v>
      </c>
      <c r="AU15" s="152">
        <f t="shared" si="11"/>
        <v>0</v>
      </c>
      <c r="AV15" s="152">
        <f t="shared" si="11"/>
        <v>0</v>
      </c>
      <c r="AW15" s="152">
        <f t="shared" si="11"/>
        <v>0</v>
      </c>
    </row>
    <row r="16" spans="1:49" ht="15" x14ac:dyDescent="0.25">
      <c r="A16" s="42" t="s">
        <v>33</v>
      </c>
      <c r="B16" s="108" t="s">
        <v>175</v>
      </c>
      <c r="C16" s="31">
        <v>140000</v>
      </c>
      <c r="D16" s="134">
        <v>223948</v>
      </c>
      <c r="E16" s="56">
        <v>129163</v>
      </c>
      <c r="F16" s="56">
        <v>113599</v>
      </c>
      <c r="G16" s="56">
        <v>100892</v>
      </c>
      <c r="H16" s="56">
        <v>48151</v>
      </c>
      <c r="I16" s="56">
        <v>18941</v>
      </c>
      <c r="J16" s="56">
        <v>14145</v>
      </c>
      <c r="K16" s="178">
        <v>22857</v>
      </c>
      <c r="L16" s="179">
        <v>9356</v>
      </c>
      <c r="M16" s="179">
        <v>6402</v>
      </c>
      <c r="N16" s="217">
        <v>292725.84000000003</v>
      </c>
      <c r="O16" s="207">
        <v>292726</v>
      </c>
      <c r="P16" s="152">
        <v>20000</v>
      </c>
      <c r="Q16" s="152">
        <f t="shared" ref="Q16:AW16" si="12">P16</f>
        <v>20000</v>
      </c>
      <c r="R16" s="152">
        <f t="shared" si="12"/>
        <v>20000</v>
      </c>
      <c r="S16" s="152">
        <f t="shared" si="12"/>
        <v>20000</v>
      </c>
      <c r="T16" s="152">
        <f t="shared" si="12"/>
        <v>20000</v>
      </c>
      <c r="U16" s="152">
        <f t="shared" si="12"/>
        <v>20000</v>
      </c>
      <c r="V16" s="152">
        <f t="shared" si="12"/>
        <v>20000</v>
      </c>
      <c r="W16" s="152">
        <f t="shared" si="12"/>
        <v>20000</v>
      </c>
      <c r="X16" s="152">
        <f t="shared" si="12"/>
        <v>20000</v>
      </c>
      <c r="Y16" s="152">
        <f t="shared" si="12"/>
        <v>20000</v>
      </c>
      <c r="Z16" s="152">
        <f t="shared" si="12"/>
        <v>20000</v>
      </c>
      <c r="AA16" s="152">
        <f t="shared" si="12"/>
        <v>20000</v>
      </c>
      <c r="AB16" s="152">
        <f t="shared" si="12"/>
        <v>20000</v>
      </c>
      <c r="AC16" s="152">
        <f t="shared" si="12"/>
        <v>20000</v>
      </c>
      <c r="AD16" s="152">
        <f t="shared" si="12"/>
        <v>20000</v>
      </c>
      <c r="AE16" s="152">
        <f t="shared" si="12"/>
        <v>20000</v>
      </c>
      <c r="AF16" s="152">
        <f t="shared" si="12"/>
        <v>20000</v>
      </c>
      <c r="AG16" s="152">
        <f t="shared" si="12"/>
        <v>20000</v>
      </c>
      <c r="AH16" s="152">
        <f t="shared" si="12"/>
        <v>20000</v>
      </c>
      <c r="AI16" s="152">
        <f t="shared" si="12"/>
        <v>20000</v>
      </c>
      <c r="AJ16" s="152">
        <f t="shared" si="12"/>
        <v>20000</v>
      </c>
      <c r="AK16" s="152">
        <f t="shared" si="12"/>
        <v>20000</v>
      </c>
      <c r="AL16" s="152">
        <f t="shared" si="12"/>
        <v>20000</v>
      </c>
      <c r="AM16" s="152">
        <f t="shared" si="12"/>
        <v>20000</v>
      </c>
      <c r="AN16" s="152">
        <f t="shared" si="12"/>
        <v>20000</v>
      </c>
      <c r="AO16" s="152">
        <f t="shared" si="12"/>
        <v>20000</v>
      </c>
      <c r="AP16" s="152">
        <f t="shared" si="12"/>
        <v>20000</v>
      </c>
      <c r="AQ16" s="152">
        <f t="shared" si="12"/>
        <v>20000</v>
      </c>
      <c r="AR16" s="152">
        <f t="shared" si="12"/>
        <v>20000</v>
      </c>
      <c r="AS16" s="152">
        <f t="shared" si="12"/>
        <v>20000</v>
      </c>
      <c r="AT16" s="152">
        <f t="shared" si="12"/>
        <v>20000</v>
      </c>
      <c r="AU16" s="152">
        <f t="shared" si="12"/>
        <v>20000</v>
      </c>
      <c r="AV16" s="152">
        <f t="shared" si="12"/>
        <v>20000</v>
      </c>
      <c r="AW16" s="152">
        <f t="shared" si="12"/>
        <v>20000</v>
      </c>
    </row>
    <row r="17" spans="1:49" ht="15" x14ac:dyDescent="0.25">
      <c r="A17" s="42" t="s">
        <v>34</v>
      </c>
      <c r="B17" s="108"/>
      <c r="C17" s="31">
        <v>26000</v>
      </c>
      <c r="D17" s="134">
        <v>23369</v>
      </c>
      <c r="E17" s="56">
        <v>20193</v>
      </c>
      <c r="F17" s="56">
        <v>15208</v>
      </c>
      <c r="G17" s="56">
        <v>18396</v>
      </c>
      <c r="H17" s="56">
        <v>12403</v>
      </c>
      <c r="I17" s="56">
        <v>15497</v>
      </c>
      <c r="J17" s="56">
        <v>18199</v>
      </c>
      <c r="K17" s="178">
        <v>18482</v>
      </c>
      <c r="L17" s="179">
        <v>18482</v>
      </c>
      <c r="M17" s="179">
        <v>17399</v>
      </c>
      <c r="N17" s="217">
        <v>21807.01</v>
      </c>
      <c r="O17" s="207">
        <f t="shared" si="6"/>
        <v>19229.336666666666</v>
      </c>
      <c r="P17" s="152">
        <f>ROUND(O17,-2)</f>
        <v>19200</v>
      </c>
      <c r="Q17" s="152">
        <f t="shared" ref="Q17:AW17" si="13">P17</f>
        <v>19200</v>
      </c>
      <c r="R17" s="152">
        <f t="shared" si="13"/>
        <v>19200</v>
      </c>
      <c r="S17" s="152">
        <f t="shared" si="13"/>
        <v>19200</v>
      </c>
      <c r="T17" s="152">
        <f t="shared" si="13"/>
        <v>19200</v>
      </c>
      <c r="U17" s="152">
        <f t="shared" si="13"/>
        <v>19200</v>
      </c>
      <c r="V17" s="152">
        <f t="shared" si="13"/>
        <v>19200</v>
      </c>
      <c r="W17" s="152">
        <f t="shared" si="13"/>
        <v>19200</v>
      </c>
      <c r="X17" s="152">
        <f t="shared" si="13"/>
        <v>19200</v>
      </c>
      <c r="Y17" s="152">
        <f t="shared" si="13"/>
        <v>19200</v>
      </c>
      <c r="Z17" s="152">
        <f t="shared" si="13"/>
        <v>19200</v>
      </c>
      <c r="AA17" s="152">
        <f t="shared" si="13"/>
        <v>19200</v>
      </c>
      <c r="AB17" s="152">
        <f t="shared" si="13"/>
        <v>19200</v>
      </c>
      <c r="AC17" s="152">
        <f t="shared" si="13"/>
        <v>19200</v>
      </c>
      <c r="AD17" s="152">
        <f t="shared" si="13"/>
        <v>19200</v>
      </c>
      <c r="AE17" s="152">
        <f t="shared" si="13"/>
        <v>19200</v>
      </c>
      <c r="AF17" s="152">
        <f t="shared" si="13"/>
        <v>19200</v>
      </c>
      <c r="AG17" s="152">
        <f t="shared" si="13"/>
        <v>19200</v>
      </c>
      <c r="AH17" s="152">
        <f t="shared" si="13"/>
        <v>19200</v>
      </c>
      <c r="AI17" s="152">
        <f t="shared" si="13"/>
        <v>19200</v>
      </c>
      <c r="AJ17" s="152">
        <f t="shared" si="13"/>
        <v>19200</v>
      </c>
      <c r="AK17" s="152">
        <f t="shared" si="13"/>
        <v>19200</v>
      </c>
      <c r="AL17" s="152">
        <f t="shared" si="13"/>
        <v>19200</v>
      </c>
      <c r="AM17" s="152">
        <f t="shared" si="13"/>
        <v>19200</v>
      </c>
      <c r="AN17" s="152">
        <f t="shared" si="13"/>
        <v>19200</v>
      </c>
      <c r="AO17" s="152">
        <f t="shared" si="13"/>
        <v>19200</v>
      </c>
      <c r="AP17" s="152">
        <f t="shared" si="13"/>
        <v>19200</v>
      </c>
      <c r="AQ17" s="152">
        <f t="shared" si="13"/>
        <v>19200</v>
      </c>
      <c r="AR17" s="152">
        <f t="shared" si="13"/>
        <v>19200</v>
      </c>
      <c r="AS17" s="152">
        <f t="shared" si="13"/>
        <v>19200</v>
      </c>
      <c r="AT17" s="152">
        <f t="shared" si="13"/>
        <v>19200</v>
      </c>
      <c r="AU17" s="152">
        <f t="shared" si="13"/>
        <v>19200</v>
      </c>
      <c r="AV17" s="152">
        <f t="shared" si="13"/>
        <v>19200</v>
      </c>
      <c r="AW17" s="152">
        <f t="shared" si="13"/>
        <v>19200</v>
      </c>
    </row>
    <row r="18" spans="1:49" ht="26.25" x14ac:dyDescent="0.25">
      <c r="A18" s="42" t="s">
        <v>204</v>
      </c>
      <c r="B18" s="108"/>
      <c r="C18" s="31">
        <v>40000</v>
      </c>
      <c r="D18" s="134">
        <v>24999</v>
      </c>
      <c r="E18" s="56">
        <v>21633</v>
      </c>
      <c r="F18" s="56">
        <v>33869</v>
      </c>
      <c r="G18" s="56">
        <v>35194</v>
      </c>
      <c r="H18" s="56">
        <v>51786</v>
      </c>
      <c r="I18" s="56">
        <v>72701</v>
      </c>
      <c r="J18" s="56">
        <v>81234</v>
      </c>
      <c r="K18" s="178">
        <v>76841</v>
      </c>
      <c r="L18" s="179">
        <v>61283</v>
      </c>
      <c r="M18" s="179">
        <v>62255</v>
      </c>
      <c r="N18" s="217">
        <v>46983</v>
      </c>
      <c r="O18" s="207">
        <f t="shared" si="6"/>
        <v>56840.333333333336</v>
      </c>
      <c r="P18" s="152">
        <f>ROUND(O18,-2)</f>
        <v>56800</v>
      </c>
      <c r="Q18" s="152">
        <f t="shared" ref="Q18:AW18" si="14">P18</f>
        <v>56800</v>
      </c>
      <c r="R18" s="152">
        <f t="shared" si="14"/>
        <v>56800</v>
      </c>
      <c r="S18" s="152">
        <f t="shared" si="14"/>
        <v>56800</v>
      </c>
      <c r="T18" s="152">
        <f t="shared" si="14"/>
        <v>56800</v>
      </c>
      <c r="U18" s="152">
        <f t="shared" si="14"/>
        <v>56800</v>
      </c>
      <c r="V18" s="152">
        <f t="shared" si="14"/>
        <v>56800</v>
      </c>
      <c r="W18" s="152">
        <f t="shared" si="14"/>
        <v>56800</v>
      </c>
      <c r="X18" s="152">
        <f t="shared" si="14"/>
        <v>56800</v>
      </c>
      <c r="Y18" s="152">
        <f t="shared" si="14"/>
        <v>56800</v>
      </c>
      <c r="Z18" s="152">
        <f t="shared" si="14"/>
        <v>56800</v>
      </c>
      <c r="AA18" s="152">
        <f t="shared" si="14"/>
        <v>56800</v>
      </c>
      <c r="AB18" s="152">
        <f t="shared" si="14"/>
        <v>56800</v>
      </c>
      <c r="AC18" s="152">
        <f t="shared" si="14"/>
        <v>56800</v>
      </c>
      <c r="AD18" s="152">
        <f t="shared" si="14"/>
        <v>56800</v>
      </c>
      <c r="AE18" s="152">
        <f t="shared" si="14"/>
        <v>56800</v>
      </c>
      <c r="AF18" s="152">
        <f t="shared" si="14"/>
        <v>56800</v>
      </c>
      <c r="AG18" s="152">
        <f t="shared" si="14"/>
        <v>56800</v>
      </c>
      <c r="AH18" s="152">
        <f t="shared" si="14"/>
        <v>56800</v>
      </c>
      <c r="AI18" s="152">
        <f t="shared" si="14"/>
        <v>56800</v>
      </c>
      <c r="AJ18" s="152">
        <f t="shared" si="14"/>
        <v>56800</v>
      </c>
      <c r="AK18" s="152">
        <f t="shared" si="14"/>
        <v>56800</v>
      </c>
      <c r="AL18" s="152">
        <f t="shared" si="14"/>
        <v>56800</v>
      </c>
      <c r="AM18" s="152">
        <f t="shared" si="14"/>
        <v>56800</v>
      </c>
      <c r="AN18" s="152">
        <f t="shared" si="14"/>
        <v>56800</v>
      </c>
      <c r="AO18" s="152">
        <f t="shared" si="14"/>
        <v>56800</v>
      </c>
      <c r="AP18" s="152">
        <f t="shared" si="14"/>
        <v>56800</v>
      </c>
      <c r="AQ18" s="152">
        <f t="shared" si="14"/>
        <v>56800</v>
      </c>
      <c r="AR18" s="152">
        <f t="shared" si="14"/>
        <v>56800</v>
      </c>
      <c r="AS18" s="152">
        <f t="shared" si="14"/>
        <v>56800</v>
      </c>
      <c r="AT18" s="152">
        <f t="shared" si="14"/>
        <v>56800</v>
      </c>
      <c r="AU18" s="152">
        <f t="shared" si="14"/>
        <v>56800</v>
      </c>
      <c r="AV18" s="152">
        <f t="shared" si="14"/>
        <v>56800</v>
      </c>
      <c r="AW18" s="152">
        <f t="shared" si="14"/>
        <v>56800</v>
      </c>
    </row>
    <row r="19" spans="1:49" ht="15" x14ac:dyDescent="0.25">
      <c r="A19" s="42" t="s">
        <v>36</v>
      </c>
      <c r="B19" s="108"/>
      <c r="C19" s="31">
        <v>9000</v>
      </c>
      <c r="D19" s="134">
        <v>7908</v>
      </c>
      <c r="E19" s="56">
        <v>12025</v>
      </c>
      <c r="F19" s="56">
        <v>250</v>
      </c>
      <c r="G19" s="56">
        <v>37695</v>
      </c>
      <c r="H19" s="56">
        <v>7250</v>
      </c>
      <c r="I19" s="56">
        <v>29250</v>
      </c>
      <c r="J19" s="56">
        <v>34750</v>
      </c>
      <c r="K19" s="178">
        <v>0</v>
      </c>
      <c r="L19" s="179">
        <v>26700</v>
      </c>
      <c r="M19" s="179">
        <v>0</v>
      </c>
      <c r="N19" s="217">
        <v>0</v>
      </c>
      <c r="O19" s="207">
        <f t="shared" si="6"/>
        <v>8900</v>
      </c>
      <c r="P19" s="152">
        <f>ROUND(O19,-2)</f>
        <v>8900</v>
      </c>
      <c r="Q19" s="152">
        <f t="shared" ref="Q19:AW19" si="15">P19</f>
        <v>8900</v>
      </c>
      <c r="R19" s="152">
        <f t="shared" si="15"/>
        <v>8900</v>
      </c>
      <c r="S19" s="152">
        <f t="shared" si="15"/>
        <v>8900</v>
      </c>
      <c r="T19" s="152">
        <f t="shared" si="15"/>
        <v>8900</v>
      </c>
      <c r="U19" s="152">
        <f t="shared" si="15"/>
        <v>8900</v>
      </c>
      <c r="V19" s="152">
        <f t="shared" si="15"/>
        <v>8900</v>
      </c>
      <c r="W19" s="152">
        <f t="shared" si="15"/>
        <v>8900</v>
      </c>
      <c r="X19" s="152">
        <f t="shared" si="15"/>
        <v>8900</v>
      </c>
      <c r="Y19" s="152">
        <f t="shared" si="15"/>
        <v>8900</v>
      </c>
      <c r="Z19" s="152">
        <f t="shared" si="15"/>
        <v>8900</v>
      </c>
      <c r="AA19" s="152">
        <f t="shared" si="15"/>
        <v>8900</v>
      </c>
      <c r="AB19" s="152">
        <f t="shared" si="15"/>
        <v>8900</v>
      </c>
      <c r="AC19" s="152">
        <f t="shared" si="15"/>
        <v>8900</v>
      </c>
      <c r="AD19" s="152">
        <f t="shared" si="15"/>
        <v>8900</v>
      </c>
      <c r="AE19" s="152">
        <f t="shared" si="15"/>
        <v>8900</v>
      </c>
      <c r="AF19" s="152">
        <f t="shared" si="15"/>
        <v>8900</v>
      </c>
      <c r="AG19" s="152">
        <f t="shared" si="15"/>
        <v>8900</v>
      </c>
      <c r="AH19" s="152">
        <f t="shared" si="15"/>
        <v>8900</v>
      </c>
      <c r="AI19" s="152">
        <f t="shared" si="15"/>
        <v>8900</v>
      </c>
      <c r="AJ19" s="152">
        <f t="shared" si="15"/>
        <v>8900</v>
      </c>
      <c r="AK19" s="152">
        <f t="shared" si="15"/>
        <v>8900</v>
      </c>
      <c r="AL19" s="152">
        <f t="shared" si="15"/>
        <v>8900</v>
      </c>
      <c r="AM19" s="152">
        <f t="shared" si="15"/>
        <v>8900</v>
      </c>
      <c r="AN19" s="152">
        <f t="shared" si="15"/>
        <v>8900</v>
      </c>
      <c r="AO19" s="152">
        <f t="shared" si="15"/>
        <v>8900</v>
      </c>
      <c r="AP19" s="152">
        <f t="shared" si="15"/>
        <v>8900</v>
      </c>
      <c r="AQ19" s="152">
        <f t="shared" si="15"/>
        <v>8900</v>
      </c>
      <c r="AR19" s="152">
        <f t="shared" si="15"/>
        <v>8900</v>
      </c>
      <c r="AS19" s="152">
        <f t="shared" si="15"/>
        <v>8900</v>
      </c>
      <c r="AT19" s="152">
        <f t="shared" si="15"/>
        <v>8900</v>
      </c>
      <c r="AU19" s="152">
        <f t="shared" si="15"/>
        <v>8900</v>
      </c>
      <c r="AV19" s="152">
        <f t="shared" si="15"/>
        <v>8900</v>
      </c>
      <c r="AW19" s="152">
        <f t="shared" si="15"/>
        <v>8900</v>
      </c>
    </row>
    <row r="20" spans="1:49" x14ac:dyDescent="0.2">
      <c r="A20" s="43" t="s">
        <v>37</v>
      </c>
      <c r="B20" s="109"/>
      <c r="C20" s="31">
        <v>0</v>
      </c>
      <c r="D20" s="134">
        <v>0</v>
      </c>
      <c r="E20" s="56">
        <v>0</v>
      </c>
      <c r="F20" s="56">
        <v>0</v>
      </c>
      <c r="G20" s="56">
        <v>0</v>
      </c>
      <c r="H20" s="56">
        <v>0</v>
      </c>
      <c r="I20" s="56">
        <v>0</v>
      </c>
      <c r="J20" s="56">
        <v>0</v>
      </c>
      <c r="K20" s="178">
        <v>0</v>
      </c>
      <c r="L20" s="179">
        <v>0</v>
      </c>
      <c r="M20" s="179">
        <v>0</v>
      </c>
      <c r="N20" s="218">
        <v>0</v>
      </c>
      <c r="O20" s="152">
        <v>0</v>
      </c>
      <c r="P20" s="152">
        <f>O20</f>
        <v>0</v>
      </c>
      <c r="Q20" s="152">
        <f t="shared" ref="Q20:AW20" si="16">P20</f>
        <v>0</v>
      </c>
      <c r="R20" s="152">
        <f t="shared" si="16"/>
        <v>0</v>
      </c>
      <c r="S20" s="152">
        <f t="shared" si="16"/>
        <v>0</v>
      </c>
      <c r="T20" s="152">
        <f t="shared" si="16"/>
        <v>0</v>
      </c>
      <c r="U20" s="152">
        <f t="shared" si="16"/>
        <v>0</v>
      </c>
      <c r="V20" s="152">
        <f t="shared" si="16"/>
        <v>0</v>
      </c>
      <c r="W20" s="152">
        <f t="shared" si="16"/>
        <v>0</v>
      </c>
      <c r="X20" s="152">
        <f t="shared" si="16"/>
        <v>0</v>
      </c>
      <c r="Y20" s="152">
        <f t="shared" si="16"/>
        <v>0</v>
      </c>
      <c r="Z20" s="152">
        <f t="shared" si="16"/>
        <v>0</v>
      </c>
      <c r="AA20" s="152">
        <f t="shared" si="16"/>
        <v>0</v>
      </c>
      <c r="AB20" s="152">
        <f t="shared" si="16"/>
        <v>0</v>
      </c>
      <c r="AC20" s="152">
        <f t="shared" si="16"/>
        <v>0</v>
      </c>
      <c r="AD20" s="152">
        <f t="shared" si="16"/>
        <v>0</v>
      </c>
      <c r="AE20" s="152">
        <f t="shared" si="16"/>
        <v>0</v>
      </c>
      <c r="AF20" s="152">
        <f t="shared" si="16"/>
        <v>0</v>
      </c>
      <c r="AG20" s="152">
        <f t="shared" si="16"/>
        <v>0</v>
      </c>
      <c r="AH20" s="152">
        <f t="shared" si="16"/>
        <v>0</v>
      </c>
      <c r="AI20" s="152">
        <f t="shared" si="16"/>
        <v>0</v>
      </c>
      <c r="AJ20" s="152">
        <f t="shared" si="16"/>
        <v>0</v>
      </c>
      <c r="AK20" s="152">
        <f t="shared" si="16"/>
        <v>0</v>
      </c>
      <c r="AL20" s="152">
        <f t="shared" si="16"/>
        <v>0</v>
      </c>
      <c r="AM20" s="152">
        <f t="shared" si="16"/>
        <v>0</v>
      </c>
      <c r="AN20" s="152">
        <f t="shared" si="16"/>
        <v>0</v>
      </c>
      <c r="AO20" s="152">
        <f t="shared" si="16"/>
        <v>0</v>
      </c>
      <c r="AP20" s="152">
        <f t="shared" si="16"/>
        <v>0</v>
      </c>
      <c r="AQ20" s="152">
        <f t="shared" si="16"/>
        <v>0</v>
      </c>
      <c r="AR20" s="152">
        <f t="shared" si="16"/>
        <v>0</v>
      </c>
      <c r="AS20" s="152">
        <f t="shared" si="16"/>
        <v>0</v>
      </c>
      <c r="AT20" s="152">
        <f t="shared" si="16"/>
        <v>0</v>
      </c>
      <c r="AU20" s="152">
        <f t="shared" si="16"/>
        <v>0</v>
      </c>
      <c r="AV20" s="152">
        <f t="shared" si="16"/>
        <v>0</v>
      </c>
      <c r="AW20" s="152">
        <f t="shared" si="16"/>
        <v>0</v>
      </c>
    </row>
    <row r="21" spans="1:49" ht="15" x14ac:dyDescent="0.25">
      <c r="A21" s="44" t="s">
        <v>27</v>
      </c>
      <c r="B21" s="110" t="s">
        <v>152</v>
      </c>
      <c r="C21" s="31">
        <v>55000</v>
      </c>
      <c r="D21" s="134">
        <v>25089</v>
      </c>
      <c r="E21" s="56">
        <v>26615</v>
      </c>
      <c r="F21" s="56">
        <v>24818</v>
      </c>
      <c r="G21" s="56">
        <v>24330</v>
      </c>
      <c r="H21" s="56">
        <v>23018</v>
      </c>
      <c r="I21" s="56">
        <v>22939</v>
      </c>
      <c r="J21" s="178">
        <v>23977</v>
      </c>
      <c r="K21" s="179">
        <v>23550</v>
      </c>
      <c r="L21" s="180">
        <v>26826</v>
      </c>
      <c r="M21" s="56">
        <v>0</v>
      </c>
      <c r="N21" s="217">
        <v>24099.74</v>
      </c>
      <c r="O21" s="207">
        <f>(K21+L21+N21)/3</f>
        <v>24825.24666666667</v>
      </c>
      <c r="P21" s="152">
        <f>ROUND(O21,-2)</f>
        <v>24800</v>
      </c>
      <c r="Q21" s="152">
        <f t="shared" ref="Q21:AW21" si="17">P21</f>
        <v>24800</v>
      </c>
      <c r="R21" s="152">
        <f t="shared" si="17"/>
        <v>24800</v>
      </c>
      <c r="S21" s="152">
        <f t="shared" si="17"/>
        <v>24800</v>
      </c>
      <c r="T21" s="152">
        <f t="shared" si="17"/>
        <v>24800</v>
      </c>
      <c r="U21" s="152">
        <f t="shared" si="17"/>
        <v>24800</v>
      </c>
      <c r="V21" s="152">
        <f t="shared" si="17"/>
        <v>24800</v>
      </c>
      <c r="W21" s="152">
        <f t="shared" si="17"/>
        <v>24800</v>
      </c>
      <c r="X21" s="152">
        <f t="shared" si="17"/>
        <v>24800</v>
      </c>
      <c r="Y21" s="152">
        <f t="shared" si="17"/>
        <v>24800</v>
      </c>
      <c r="Z21" s="152">
        <f t="shared" si="17"/>
        <v>24800</v>
      </c>
      <c r="AA21" s="152">
        <f t="shared" si="17"/>
        <v>24800</v>
      </c>
      <c r="AB21" s="152">
        <f t="shared" si="17"/>
        <v>24800</v>
      </c>
      <c r="AC21" s="152">
        <f t="shared" si="17"/>
        <v>24800</v>
      </c>
      <c r="AD21" s="152">
        <f t="shared" si="17"/>
        <v>24800</v>
      </c>
      <c r="AE21" s="152">
        <f t="shared" si="17"/>
        <v>24800</v>
      </c>
      <c r="AF21" s="152">
        <f t="shared" si="17"/>
        <v>24800</v>
      </c>
      <c r="AG21" s="152">
        <f t="shared" si="17"/>
        <v>24800</v>
      </c>
      <c r="AH21" s="152">
        <f t="shared" si="17"/>
        <v>24800</v>
      </c>
      <c r="AI21" s="152">
        <f t="shared" si="17"/>
        <v>24800</v>
      </c>
      <c r="AJ21" s="152">
        <f t="shared" si="17"/>
        <v>24800</v>
      </c>
      <c r="AK21" s="152">
        <f t="shared" si="17"/>
        <v>24800</v>
      </c>
      <c r="AL21" s="152">
        <f t="shared" si="17"/>
        <v>24800</v>
      </c>
      <c r="AM21" s="152">
        <f t="shared" si="17"/>
        <v>24800</v>
      </c>
      <c r="AN21" s="152">
        <f t="shared" si="17"/>
        <v>24800</v>
      </c>
      <c r="AO21" s="152">
        <f t="shared" si="17"/>
        <v>24800</v>
      </c>
      <c r="AP21" s="152">
        <f t="shared" si="17"/>
        <v>24800</v>
      </c>
      <c r="AQ21" s="152">
        <f t="shared" si="17"/>
        <v>24800</v>
      </c>
      <c r="AR21" s="152">
        <f t="shared" si="17"/>
        <v>24800</v>
      </c>
      <c r="AS21" s="152">
        <f t="shared" si="17"/>
        <v>24800</v>
      </c>
      <c r="AT21" s="152">
        <f t="shared" si="17"/>
        <v>24800</v>
      </c>
      <c r="AU21" s="152">
        <f t="shared" si="17"/>
        <v>24800</v>
      </c>
      <c r="AV21" s="152">
        <f t="shared" si="17"/>
        <v>24800</v>
      </c>
      <c r="AW21" s="152">
        <f t="shared" si="17"/>
        <v>24800</v>
      </c>
    </row>
    <row r="22" spans="1:49" ht="15" x14ac:dyDescent="0.25">
      <c r="A22" s="44" t="s">
        <v>28</v>
      </c>
      <c r="B22" s="110" t="s">
        <v>151</v>
      </c>
      <c r="C22" s="31">
        <v>80000</v>
      </c>
      <c r="D22" s="134">
        <v>76370</v>
      </c>
      <c r="E22" s="56">
        <v>55875</v>
      </c>
      <c r="F22" s="56">
        <v>34160</v>
      </c>
      <c r="G22" s="56">
        <v>16866</v>
      </c>
      <c r="H22" s="56">
        <v>23018</v>
      </c>
      <c r="I22" s="56">
        <v>20600</v>
      </c>
      <c r="J22" s="56">
        <v>40250</v>
      </c>
      <c r="K22" s="178">
        <v>16760</v>
      </c>
      <c r="L22" s="179">
        <v>24400</v>
      </c>
      <c r="M22" s="179">
        <v>25045</v>
      </c>
      <c r="N22" s="217">
        <v>14600</v>
      </c>
      <c r="O22" s="207">
        <f t="shared" ref="O22" si="18">AVERAGE(L22:N22)</f>
        <v>21348.333333333332</v>
      </c>
      <c r="P22" s="152">
        <f>ROUND(O22,-2)</f>
        <v>21300</v>
      </c>
      <c r="Q22" s="152">
        <f t="shared" ref="Q22:AW22" si="19">P22</f>
        <v>21300</v>
      </c>
      <c r="R22" s="152">
        <f t="shared" si="19"/>
        <v>21300</v>
      </c>
      <c r="S22" s="152">
        <f t="shared" si="19"/>
        <v>21300</v>
      </c>
      <c r="T22" s="152">
        <f t="shared" si="19"/>
        <v>21300</v>
      </c>
      <c r="U22" s="152">
        <f t="shared" si="19"/>
        <v>21300</v>
      </c>
      <c r="V22" s="152">
        <f t="shared" si="19"/>
        <v>21300</v>
      </c>
      <c r="W22" s="152">
        <f t="shared" si="19"/>
        <v>21300</v>
      </c>
      <c r="X22" s="152">
        <f t="shared" si="19"/>
        <v>21300</v>
      </c>
      <c r="Y22" s="152">
        <f t="shared" si="19"/>
        <v>21300</v>
      </c>
      <c r="Z22" s="152">
        <f t="shared" si="19"/>
        <v>21300</v>
      </c>
      <c r="AA22" s="152">
        <f t="shared" si="19"/>
        <v>21300</v>
      </c>
      <c r="AB22" s="152">
        <f t="shared" si="19"/>
        <v>21300</v>
      </c>
      <c r="AC22" s="152">
        <f t="shared" si="19"/>
        <v>21300</v>
      </c>
      <c r="AD22" s="152">
        <f t="shared" si="19"/>
        <v>21300</v>
      </c>
      <c r="AE22" s="152">
        <f t="shared" si="19"/>
        <v>21300</v>
      </c>
      <c r="AF22" s="152">
        <f t="shared" si="19"/>
        <v>21300</v>
      </c>
      <c r="AG22" s="152">
        <f t="shared" si="19"/>
        <v>21300</v>
      </c>
      <c r="AH22" s="152">
        <f t="shared" si="19"/>
        <v>21300</v>
      </c>
      <c r="AI22" s="152">
        <f t="shared" si="19"/>
        <v>21300</v>
      </c>
      <c r="AJ22" s="152">
        <f t="shared" si="19"/>
        <v>21300</v>
      </c>
      <c r="AK22" s="152">
        <f t="shared" si="19"/>
        <v>21300</v>
      </c>
      <c r="AL22" s="152">
        <f t="shared" si="19"/>
        <v>21300</v>
      </c>
      <c r="AM22" s="152">
        <f t="shared" si="19"/>
        <v>21300</v>
      </c>
      <c r="AN22" s="152">
        <f t="shared" si="19"/>
        <v>21300</v>
      </c>
      <c r="AO22" s="152">
        <f t="shared" si="19"/>
        <v>21300</v>
      </c>
      <c r="AP22" s="152">
        <f t="shared" si="19"/>
        <v>21300</v>
      </c>
      <c r="AQ22" s="152">
        <f t="shared" si="19"/>
        <v>21300</v>
      </c>
      <c r="AR22" s="152">
        <f t="shared" si="19"/>
        <v>21300</v>
      </c>
      <c r="AS22" s="152">
        <f t="shared" si="19"/>
        <v>21300</v>
      </c>
      <c r="AT22" s="152">
        <f t="shared" si="19"/>
        <v>21300</v>
      </c>
      <c r="AU22" s="152">
        <f t="shared" si="19"/>
        <v>21300</v>
      </c>
      <c r="AV22" s="152">
        <f t="shared" si="19"/>
        <v>21300</v>
      </c>
      <c r="AW22" s="152">
        <f t="shared" si="19"/>
        <v>21300</v>
      </c>
    </row>
    <row r="23" spans="1:49" x14ac:dyDescent="0.2">
      <c r="A23" s="44" t="s">
        <v>124</v>
      </c>
      <c r="B23" s="110"/>
      <c r="C23" s="31">
        <v>0</v>
      </c>
      <c r="D23" s="134">
        <v>0</v>
      </c>
      <c r="E23" s="56">
        <v>0</v>
      </c>
      <c r="F23" s="56">
        <v>0</v>
      </c>
      <c r="G23" s="56">
        <v>0</v>
      </c>
      <c r="H23" s="56">
        <v>19300</v>
      </c>
      <c r="I23" s="56">
        <v>0</v>
      </c>
      <c r="J23" s="178">
        <v>0</v>
      </c>
      <c r="K23" s="179">
        <v>0</v>
      </c>
      <c r="L23" s="180">
        <v>0</v>
      </c>
      <c r="M23" s="56">
        <v>6000</v>
      </c>
      <c r="N23" s="217">
        <v>0</v>
      </c>
      <c r="O23" s="152">
        <v>0</v>
      </c>
      <c r="P23" s="152">
        <f>O23</f>
        <v>0</v>
      </c>
      <c r="Q23" s="152">
        <f t="shared" ref="Q23:AW23" si="20">P23</f>
        <v>0</v>
      </c>
      <c r="R23" s="152">
        <f t="shared" si="20"/>
        <v>0</v>
      </c>
      <c r="S23" s="152">
        <f t="shared" si="20"/>
        <v>0</v>
      </c>
      <c r="T23" s="152">
        <f t="shared" si="20"/>
        <v>0</v>
      </c>
      <c r="U23" s="152">
        <f t="shared" si="20"/>
        <v>0</v>
      </c>
      <c r="V23" s="152">
        <f t="shared" si="20"/>
        <v>0</v>
      </c>
      <c r="W23" s="152">
        <f t="shared" si="20"/>
        <v>0</v>
      </c>
      <c r="X23" s="152">
        <f t="shared" si="20"/>
        <v>0</v>
      </c>
      <c r="Y23" s="152">
        <f t="shared" si="20"/>
        <v>0</v>
      </c>
      <c r="Z23" s="152">
        <f t="shared" si="20"/>
        <v>0</v>
      </c>
      <c r="AA23" s="152">
        <f t="shared" si="20"/>
        <v>0</v>
      </c>
      <c r="AB23" s="152">
        <f t="shared" si="20"/>
        <v>0</v>
      </c>
      <c r="AC23" s="152">
        <f t="shared" si="20"/>
        <v>0</v>
      </c>
      <c r="AD23" s="152">
        <f t="shared" si="20"/>
        <v>0</v>
      </c>
      <c r="AE23" s="152">
        <f t="shared" si="20"/>
        <v>0</v>
      </c>
      <c r="AF23" s="152">
        <f t="shared" si="20"/>
        <v>0</v>
      </c>
      <c r="AG23" s="152">
        <f t="shared" si="20"/>
        <v>0</v>
      </c>
      <c r="AH23" s="152">
        <f t="shared" si="20"/>
        <v>0</v>
      </c>
      <c r="AI23" s="152">
        <f t="shared" si="20"/>
        <v>0</v>
      </c>
      <c r="AJ23" s="152">
        <f t="shared" si="20"/>
        <v>0</v>
      </c>
      <c r="AK23" s="152">
        <f t="shared" si="20"/>
        <v>0</v>
      </c>
      <c r="AL23" s="152">
        <f t="shared" si="20"/>
        <v>0</v>
      </c>
      <c r="AM23" s="152">
        <f t="shared" si="20"/>
        <v>0</v>
      </c>
      <c r="AN23" s="152">
        <f t="shared" si="20"/>
        <v>0</v>
      </c>
      <c r="AO23" s="152">
        <f t="shared" si="20"/>
        <v>0</v>
      </c>
      <c r="AP23" s="152">
        <f t="shared" si="20"/>
        <v>0</v>
      </c>
      <c r="AQ23" s="152">
        <f t="shared" si="20"/>
        <v>0</v>
      </c>
      <c r="AR23" s="152">
        <f t="shared" si="20"/>
        <v>0</v>
      </c>
      <c r="AS23" s="152">
        <f t="shared" si="20"/>
        <v>0</v>
      </c>
      <c r="AT23" s="152">
        <f t="shared" si="20"/>
        <v>0</v>
      </c>
      <c r="AU23" s="152">
        <f t="shared" si="20"/>
        <v>0</v>
      </c>
      <c r="AV23" s="152">
        <f t="shared" si="20"/>
        <v>0</v>
      </c>
      <c r="AW23" s="152">
        <f t="shared" si="20"/>
        <v>0</v>
      </c>
    </row>
    <row r="24" spans="1:49" ht="13.5" thickBot="1" x14ac:dyDescent="0.25">
      <c r="A24" s="44" t="s">
        <v>125</v>
      </c>
      <c r="B24" s="110"/>
      <c r="C24" s="31">
        <v>0</v>
      </c>
      <c r="D24" s="140">
        <v>0</v>
      </c>
      <c r="E24" s="145">
        <v>1089</v>
      </c>
      <c r="F24" s="145">
        <v>0</v>
      </c>
      <c r="G24" s="145">
        <v>557</v>
      </c>
      <c r="H24" s="145">
        <v>563</v>
      </c>
      <c r="I24" s="145">
        <v>0</v>
      </c>
      <c r="J24" s="145">
        <v>294</v>
      </c>
      <c r="K24" s="145">
        <v>254</v>
      </c>
      <c r="L24" s="145">
        <v>13049</v>
      </c>
      <c r="M24" s="145">
        <v>15377</v>
      </c>
      <c r="N24" s="219">
        <v>6853.07</v>
      </c>
      <c r="O24" s="152">
        <v>0</v>
      </c>
      <c r="P24" s="152">
        <f>O24</f>
        <v>0</v>
      </c>
      <c r="Q24" s="152">
        <f t="shared" ref="Q24:AW24" si="21">P24</f>
        <v>0</v>
      </c>
      <c r="R24" s="152">
        <f t="shared" si="21"/>
        <v>0</v>
      </c>
      <c r="S24" s="152">
        <f t="shared" si="21"/>
        <v>0</v>
      </c>
      <c r="T24" s="152">
        <f t="shared" si="21"/>
        <v>0</v>
      </c>
      <c r="U24" s="152">
        <f t="shared" si="21"/>
        <v>0</v>
      </c>
      <c r="V24" s="152">
        <f t="shared" si="21"/>
        <v>0</v>
      </c>
      <c r="W24" s="152">
        <f t="shared" si="21"/>
        <v>0</v>
      </c>
      <c r="X24" s="152">
        <f t="shared" si="21"/>
        <v>0</v>
      </c>
      <c r="Y24" s="152">
        <f t="shared" si="21"/>
        <v>0</v>
      </c>
      <c r="Z24" s="152">
        <f t="shared" si="21"/>
        <v>0</v>
      </c>
      <c r="AA24" s="152">
        <f t="shared" si="21"/>
        <v>0</v>
      </c>
      <c r="AB24" s="152">
        <f t="shared" si="21"/>
        <v>0</v>
      </c>
      <c r="AC24" s="152">
        <f t="shared" si="21"/>
        <v>0</v>
      </c>
      <c r="AD24" s="152">
        <f t="shared" si="21"/>
        <v>0</v>
      </c>
      <c r="AE24" s="152">
        <f t="shared" si="21"/>
        <v>0</v>
      </c>
      <c r="AF24" s="152">
        <f t="shared" si="21"/>
        <v>0</v>
      </c>
      <c r="AG24" s="152">
        <f t="shared" si="21"/>
        <v>0</v>
      </c>
      <c r="AH24" s="152">
        <f t="shared" si="21"/>
        <v>0</v>
      </c>
      <c r="AI24" s="152">
        <f t="shared" si="21"/>
        <v>0</v>
      </c>
      <c r="AJ24" s="152">
        <f t="shared" si="21"/>
        <v>0</v>
      </c>
      <c r="AK24" s="152">
        <f t="shared" si="21"/>
        <v>0</v>
      </c>
      <c r="AL24" s="152">
        <f t="shared" si="21"/>
        <v>0</v>
      </c>
      <c r="AM24" s="152">
        <f t="shared" si="21"/>
        <v>0</v>
      </c>
      <c r="AN24" s="152">
        <f t="shared" si="21"/>
        <v>0</v>
      </c>
      <c r="AO24" s="152">
        <f t="shared" si="21"/>
        <v>0</v>
      </c>
      <c r="AP24" s="152">
        <f t="shared" si="21"/>
        <v>0</v>
      </c>
      <c r="AQ24" s="152">
        <f t="shared" si="21"/>
        <v>0</v>
      </c>
      <c r="AR24" s="152">
        <f t="shared" si="21"/>
        <v>0</v>
      </c>
      <c r="AS24" s="152">
        <f t="shared" si="21"/>
        <v>0</v>
      </c>
      <c r="AT24" s="152">
        <f t="shared" si="21"/>
        <v>0</v>
      </c>
      <c r="AU24" s="152">
        <f t="shared" si="21"/>
        <v>0</v>
      </c>
      <c r="AV24" s="152">
        <f t="shared" si="21"/>
        <v>0</v>
      </c>
      <c r="AW24" s="152">
        <f t="shared" si="21"/>
        <v>0</v>
      </c>
    </row>
    <row r="25" spans="1:49" ht="13.5" thickBot="1" x14ac:dyDescent="0.25">
      <c r="A25" s="51" t="s">
        <v>59</v>
      </c>
      <c r="B25" s="111" t="s">
        <v>139</v>
      </c>
      <c r="C25" s="90">
        <f>SUM(C11:C24)</f>
        <v>2618250</v>
      </c>
      <c r="D25" s="164">
        <f>SUM(D11:D24)</f>
        <v>2800558</v>
      </c>
      <c r="E25" s="165">
        <f>SUM(E11:E24)</f>
        <v>2682230</v>
      </c>
      <c r="F25" s="165">
        <f t="shared" ref="F25:M25" si="22">SUM(F11:F24)</f>
        <v>2751399</v>
      </c>
      <c r="G25" s="165">
        <f t="shared" si="22"/>
        <v>2717796</v>
      </c>
      <c r="H25" s="165">
        <f t="shared" si="22"/>
        <v>2613866</v>
      </c>
      <c r="I25" s="165">
        <f t="shared" si="22"/>
        <v>2627345</v>
      </c>
      <c r="J25" s="165">
        <f t="shared" si="22"/>
        <v>2605598</v>
      </c>
      <c r="K25" s="165">
        <f t="shared" si="22"/>
        <v>2617549</v>
      </c>
      <c r="L25" s="165">
        <f t="shared" si="22"/>
        <v>2574217</v>
      </c>
      <c r="M25" s="165">
        <f t="shared" si="22"/>
        <v>2449659</v>
      </c>
      <c r="N25" s="220">
        <f>SUM(N11:N24)</f>
        <v>2706661.4999999995</v>
      </c>
      <c r="O25" s="189">
        <f t="shared" ref="O25:Q25" si="23">SUM(O11:O24)</f>
        <v>2760584.8633333333</v>
      </c>
      <c r="P25" s="159">
        <f t="shared" si="23"/>
        <v>2717424.1913333335</v>
      </c>
      <c r="Q25" s="159">
        <f t="shared" si="23"/>
        <v>2970046.610466667</v>
      </c>
      <c r="R25" s="159">
        <f t="shared" ref="R25" si="24">SUM(R11:R24)</f>
        <v>3247931.271513334</v>
      </c>
      <c r="S25" s="159">
        <f t="shared" ref="S25" si="25">SUM(S11:S24)</f>
        <v>3400767.8350890009</v>
      </c>
      <c r="T25" s="159">
        <f t="shared" ref="T25" si="26">SUM(T11:T24)</f>
        <v>3561246.2268434511</v>
      </c>
      <c r="U25" s="159">
        <f t="shared" ref="U25" si="27">SUM(U11:U24)</f>
        <v>3628647.1513803201</v>
      </c>
      <c r="V25" s="159">
        <f t="shared" ref="V25" si="28">SUM(V11:V24)</f>
        <v>3697396.0944079263</v>
      </c>
      <c r="W25" s="159">
        <f t="shared" ref="W25" si="29">SUM(W11:W24)</f>
        <v>3767520.016296085</v>
      </c>
      <c r="X25" s="159">
        <f t="shared" ref="X25" si="30">SUM(X11:X24)</f>
        <v>3839046.4166220068</v>
      </c>
      <c r="Y25" s="159">
        <f t="shared" ref="Y25" si="31">SUM(Y11:Y24)</f>
        <v>3912003.3449544469</v>
      </c>
      <c r="Z25" s="159">
        <f t="shared" ref="Z25" si="32">SUM(Z11:Z24)</f>
        <v>3986419.411853536</v>
      </c>
      <c r="AA25" s="159">
        <f t="shared" ref="AA25" si="33">SUM(AA11:AA24)</f>
        <v>4062323.8000906068</v>
      </c>
      <c r="AB25" s="159">
        <f t="shared" ref="AB25" si="34">SUM(AB11:AB24)</f>
        <v>4139746.2760924189</v>
      </c>
      <c r="AC25" s="159">
        <f t="shared" ref="AC25" si="35">SUM(AC11:AC24)</f>
        <v>4218717.2016142672</v>
      </c>
      <c r="AD25" s="159">
        <f t="shared" ref="AD25" si="36">SUM(AD11:AD24)</f>
        <v>4299267.545646552</v>
      </c>
      <c r="AE25" s="159">
        <f t="shared" ref="AE25" si="37">SUM(AE11:AE24)</f>
        <v>4381428.8965594834</v>
      </c>
      <c r="AF25" s="159">
        <f t="shared" ref="AF25" si="38">SUM(AF11:AF24)</f>
        <v>4465233.4744906733</v>
      </c>
      <c r="AG25" s="159">
        <f t="shared" ref="AG25" si="39">SUM(AG11:AG24)</f>
        <v>4550714.1439804872</v>
      </c>
      <c r="AH25" s="159">
        <f t="shared" ref="AH25" si="40">SUM(AH11:AH24)</f>
        <v>4637904.4268600969</v>
      </c>
      <c r="AI25" s="159">
        <f t="shared" ref="AI25" si="41">SUM(AI11:AI24)</f>
        <v>4726838.5153972991</v>
      </c>
      <c r="AJ25" s="159">
        <f t="shared" ref="AJ25" si="42">SUM(AJ11:AJ24)</f>
        <v>4817551.2857052451</v>
      </c>
      <c r="AK25" s="159">
        <f t="shared" ref="AK25" si="43">SUM(AK11:AK24)</f>
        <v>4910078.3114193501</v>
      </c>
      <c r="AL25" s="159">
        <f t="shared" ref="AL25" si="44">SUM(AL11:AL24)</f>
        <v>5004455.877647737</v>
      </c>
      <c r="AM25" s="159">
        <f t="shared" ref="AM25" si="45">SUM(AM11:AM24)</f>
        <v>5100720.9952006917</v>
      </c>
      <c r="AN25" s="159">
        <f t="shared" ref="AN25" si="46">SUM(AN11:AN24)</f>
        <v>5198911.4151047058</v>
      </c>
      <c r="AO25" s="159">
        <f t="shared" ref="AO25" si="47">SUM(AO11:AO24)</f>
        <v>5299065.6434068</v>
      </c>
      <c r="AP25" s="159">
        <f t="shared" ref="AP25" si="48">SUM(AP11:AP24)</f>
        <v>5401222.956274936</v>
      </c>
      <c r="AQ25" s="159">
        <f t="shared" ref="AQ25" si="49">SUM(AQ11:AQ24)</f>
        <v>5505423.4154004352</v>
      </c>
      <c r="AR25" s="159">
        <f t="shared" ref="AR25" si="50">SUM(AR11:AR24)</f>
        <v>5611707.8837084444</v>
      </c>
      <c r="AS25" s="159">
        <f t="shared" ref="AS25" si="51">SUM(AS11:AS24)</f>
        <v>5720118.0413826136</v>
      </c>
      <c r="AT25" s="159">
        <f t="shared" ref="AT25" si="52">SUM(AT11:AT24)</f>
        <v>5830696.4022102663</v>
      </c>
      <c r="AU25" s="159">
        <f t="shared" ref="AU25" si="53">SUM(AU11:AU24)</f>
        <v>5943486.3302544719</v>
      </c>
      <c r="AV25" s="159">
        <f t="shared" ref="AV25" si="54">SUM(AV11:AV24)</f>
        <v>6058532.0568595612</v>
      </c>
      <c r="AW25" s="159">
        <f t="shared" ref="AW25" si="55">SUM(AW11:AW24)</f>
        <v>6175878.6979967523</v>
      </c>
    </row>
    <row r="26" spans="1:49" x14ac:dyDescent="0.2">
      <c r="A26" s="11"/>
      <c r="B26" s="105"/>
      <c r="C26" s="31"/>
      <c r="D26" s="192"/>
      <c r="E26" s="38"/>
      <c r="F26" s="38"/>
      <c r="G26" s="38"/>
      <c r="H26" s="38"/>
      <c r="I26" s="38"/>
      <c r="J26" s="38"/>
      <c r="K26" s="38"/>
      <c r="L26" s="38"/>
      <c r="M26" s="38"/>
      <c r="N26" s="221"/>
      <c r="O26" s="158"/>
    </row>
    <row r="27" spans="1:49" x14ac:dyDescent="0.2">
      <c r="A27" s="121" t="s">
        <v>51</v>
      </c>
      <c r="B27" s="112"/>
      <c r="C27" s="127" t="s">
        <v>112</v>
      </c>
      <c r="D27" s="136" t="s">
        <v>112</v>
      </c>
      <c r="E27" s="127" t="s">
        <v>112</v>
      </c>
      <c r="F27" s="127" t="s">
        <v>112</v>
      </c>
      <c r="G27" s="127" t="s">
        <v>112</v>
      </c>
      <c r="H27" s="127" t="s">
        <v>112</v>
      </c>
      <c r="I27" s="127" t="s">
        <v>112</v>
      </c>
      <c r="J27" s="127" t="s">
        <v>112</v>
      </c>
      <c r="K27" s="127" t="s">
        <v>112</v>
      </c>
      <c r="L27" s="127" t="s">
        <v>112</v>
      </c>
      <c r="M27" s="127" t="s">
        <v>112</v>
      </c>
      <c r="N27" s="127" t="s">
        <v>112</v>
      </c>
      <c r="O27" s="112" t="s">
        <v>154</v>
      </c>
      <c r="P27" s="112" t="s">
        <v>154</v>
      </c>
      <c r="Q27" s="112" t="s">
        <v>154</v>
      </c>
      <c r="R27" s="112" t="s">
        <v>154</v>
      </c>
      <c r="S27" s="112" t="s">
        <v>154</v>
      </c>
      <c r="T27" s="112" t="s">
        <v>154</v>
      </c>
      <c r="U27" s="112" t="s">
        <v>154</v>
      </c>
      <c r="V27" s="112" t="s">
        <v>154</v>
      </c>
      <c r="W27" s="112" t="s">
        <v>154</v>
      </c>
      <c r="X27" s="112" t="s">
        <v>154</v>
      </c>
      <c r="Y27" s="112" t="s">
        <v>154</v>
      </c>
      <c r="Z27" s="112" t="s">
        <v>154</v>
      </c>
      <c r="AA27" s="112" t="s">
        <v>154</v>
      </c>
      <c r="AB27" s="112" t="s">
        <v>154</v>
      </c>
      <c r="AC27" s="112" t="s">
        <v>154</v>
      </c>
      <c r="AD27" s="112" t="s">
        <v>154</v>
      </c>
      <c r="AE27" s="112" t="s">
        <v>154</v>
      </c>
      <c r="AF27" s="112" t="s">
        <v>154</v>
      </c>
      <c r="AG27" s="112" t="s">
        <v>154</v>
      </c>
      <c r="AH27" s="112" t="s">
        <v>154</v>
      </c>
      <c r="AI27" s="112" t="s">
        <v>154</v>
      </c>
      <c r="AJ27" s="112" t="s">
        <v>154</v>
      </c>
      <c r="AK27" s="112" t="s">
        <v>154</v>
      </c>
      <c r="AL27" s="112" t="s">
        <v>154</v>
      </c>
      <c r="AM27" s="112" t="s">
        <v>154</v>
      </c>
      <c r="AN27" s="112" t="s">
        <v>154</v>
      </c>
      <c r="AO27" s="112" t="s">
        <v>154</v>
      </c>
      <c r="AP27" s="112" t="s">
        <v>154</v>
      </c>
      <c r="AQ27" s="112" t="s">
        <v>154</v>
      </c>
      <c r="AR27" s="112" t="s">
        <v>154</v>
      </c>
      <c r="AS27" s="112" t="s">
        <v>154</v>
      </c>
      <c r="AT27" s="112" t="s">
        <v>154</v>
      </c>
      <c r="AU27" s="112" t="s">
        <v>154</v>
      </c>
      <c r="AV27" s="112" t="s">
        <v>154</v>
      </c>
      <c r="AW27" s="112" t="s">
        <v>154</v>
      </c>
    </row>
    <row r="28" spans="1:49" ht="13.5" thickBot="1" x14ac:dyDescent="0.25">
      <c r="A28" s="118" t="s">
        <v>39</v>
      </c>
      <c r="B28" s="112"/>
      <c r="C28" s="127"/>
      <c r="D28" s="136"/>
      <c r="E28" s="127"/>
      <c r="F28" s="127"/>
      <c r="G28" s="127"/>
      <c r="H28" s="127"/>
      <c r="I28" s="127"/>
      <c r="J28" s="127"/>
      <c r="K28" s="127"/>
      <c r="L28" s="127"/>
      <c r="M28" s="127"/>
      <c r="N28" s="215"/>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row>
    <row r="29" spans="1:49" x14ac:dyDescent="0.2">
      <c r="A29" s="39" t="s">
        <v>113</v>
      </c>
      <c r="B29" s="108"/>
      <c r="C29" s="31">
        <v>603048</v>
      </c>
      <c r="D29" s="130">
        <v>688338</v>
      </c>
      <c r="E29" s="131">
        <v>648903</v>
      </c>
      <c r="F29" s="132">
        <v>614040</v>
      </c>
      <c r="G29" s="132">
        <v>653621</v>
      </c>
      <c r="H29" s="132">
        <v>689930</v>
      </c>
      <c r="I29" s="132">
        <v>674976</v>
      </c>
      <c r="J29" s="132">
        <v>713469</v>
      </c>
      <c r="K29" s="132">
        <v>679061</v>
      </c>
      <c r="L29" s="132">
        <v>725392</v>
      </c>
      <c r="M29" s="178">
        <v>713623</v>
      </c>
      <c r="N29" s="217">
        <v>726105.31</v>
      </c>
      <c r="O29" s="152">
        <f>N29*(1+O$7)</f>
        <v>740627.41620000009</v>
      </c>
      <c r="P29" s="152">
        <f t="shared" ref="P29" si="56">O29*(1+P$7)</f>
        <v>755439.96452400007</v>
      </c>
      <c r="Q29" s="181">
        <f>P29*(1+1/14)*1.02</f>
        <v>825587.96122980013</v>
      </c>
      <c r="R29" s="152">
        <f t="shared" ref="R29:AW29" si="57">Q29*(1+R$7)</f>
        <v>842099.7204543961</v>
      </c>
      <c r="S29" s="152">
        <f t="shared" si="57"/>
        <v>858941.71486348403</v>
      </c>
      <c r="T29" s="152">
        <f t="shared" si="57"/>
        <v>876120.54916075373</v>
      </c>
      <c r="U29" s="152">
        <f t="shared" si="57"/>
        <v>893642.96014396881</v>
      </c>
      <c r="V29" s="152">
        <f t="shared" si="57"/>
        <v>911515.81934684818</v>
      </c>
      <c r="W29" s="152">
        <f t="shared" si="57"/>
        <v>929746.13573378511</v>
      </c>
      <c r="X29" s="152">
        <f t="shared" si="57"/>
        <v>948341.05844846088</v>
      </c>
      <c r="Y29" s="152">
        <f t="shared" si="57"/>
        <v>967307.87961743015</v>
      </c>
      <c r="Z29" s="152">
        <f t="shared" si="57"/>
        <v>986654.03720977879</v>
      </c>
      <c r="AA29" s="152">
        <f t="shared" si="57"/>
        <v>1006387.1179539744</v>
      </c>
      <c r="AB29" s="152">
        <f t="shared" si="57"/>
        <v>1026514.8603130539</v>
      </c>
      <c r="AC29" s="152">
        <f t="shared" si="57"/>
        <v>1047045.157519315</v>
      </c>
      <c r="AD29" s="152">
        <f t="shared" si="57"/>
        <v>1067986.0606697013</v>
      </c>
      <c r="AE29" s="152">
        <f t="shared" si="57"/>
        <v>1089345.7818830954</v>
      </c>
      <c r="AF29" s="152">
        <f t="shared" si="57"/>
        <v>1111132.6975207573</v>
      </c>
      <c r="AG29" s="152">
        <f t="shared" si="57"/>
        <v>1133355.3514711724</v>
      </c>
      <c r="AH29" s="152">
        <f t="shared" si="57"/>
        <v>1156022.458500596</v>
      </c>
      <c r="AI29" s="152">
        <f t="shared" si="57"/>
        <v>1179142.907670608</v>
      </c>
      <c r="AJ29" s="152">
        <f t="shared" si="57"/>
        <v>1202725.7658240201</v>
      </c>
      <c r="AK29" s="152">
        <f t="shared" si="57"/>
        <v>1226780.2811405007</v>
      </c>
      <c r="AL29" s="152">
        <f t="shared" si="57"/>
        <v>1251315.8867633108</v>
      </c>
      <c r="AM29" s="152">
        <f t="shared" si="57"/>
        <v>1276342.2044985769</v>
      </c>
      <c r="AN29" s="152">
        <f t="shared" si="57"/>
        <v>1301869.0485885486</v>
      </c>
      <c r="AO29" s="152">
        <f t="shared" si="57"/>
        <v>1327906.4295603195</v>
      </c>
      <c r="AP29" s="152">
        <f t="shared" si="57"/>
        <v>1354464.5581515259</v>
      </c>
      <c r="AQ29" s="152">
        <f t="shared" si="57"/>
        <v>1381553.8493145565</v>
      </c>
      <c r="AR29" s="152">
        <f t="shared" si="57"/>
        <v>1409184.9263008477</v>
      </c>
      <c r="AS29" s="152">
        <f t="shared" si="57"/>
        <v>1437368.6248268646</v>
      </c>
      <c r="AT29" s="152">
        <f t="shared" si="57"/>
        <v>1466115.997323402</v>
      </c>
      <c r="AU29" s="152">
        <f t="shared" si="57"/>
        <v>1495438.3172698701</v>
      </c>
      <c r="AV29" s="152">
        <f t="shared" si="57"/>
        <v>1525347.0836152674</v>
      </c>
      <c r="AW29" s="152">
        <f t="shared" si="57"/>
        <v>1555854.0252875728</v>
      </c>
    </row>
    <row r="30" spans="1:49" ht="15" x14ac:dyDescent="0.25">
      <c r="A30" s="39" t="s">
        <v>40</v>
      </c>
      <c r="B30" s="108"/>
      <c r="C30" s="31">
        <v>628325</v>
      </c>
      <c r="D30" s="134">
        <v>560021</v>
      </c>
      <c r="E30" s="56">
        <v>591752</v>
      </c>
      <c r="F30" s="126">
        <v>549486</v>
      </c>
      <c r="G30" s="126">
        <v>646455</v>
      </c>
      <c r="H30" s="126">
        <v>676782</v>
      </c>
      <c r="I30" s="126">
        <v>624395</v>
      </c>
      <c r="J30" s="126">
        <v>574541</v>
      </c>
      <c r="K30" s="178">
        <v>529885</v>
      </c>
      <c r="L30" s="179">
        <v>751136</v>
      </c>
      <c r="M30" s="179">
        <v>636446</v>
      </c>
      <c r="N30" s="217">
        <v>583969.09</v>
      </c>
      <c r="O30" s="207">
        <f t="shared" ref="O30" si="58">AVERAGE(L30:N30)</f>
        <v>657183.69666666666</v>
      </c>
      <c r="P30" s="152">
        <f t="shared" ref="P30:Q30" si="59">O30*(1+P$7)</f>
        <v>670327.37060000002</v>
      </c>
      <c r="Q30" s="152">
        <f t="shared" si="59"/>
        <v>683733.91801200004</v>
      </c>
      <c r="R30" s="152">
        <f t="shared" ref="R30:AW30" si="60">Q30*(1+R$7)</f>
        <v>697408.59637224011</v>
      </c>
      <c r="S30" s="152">
        <f t="shared" si="60"/>
        <v>711356.76829968498</v>
      </c>
      <c r="T30" s="152">
        <f t="shared" si="60"/>
        <v>725583.90366567869</v>
      </c>
      <c r="U30" s="152">
        <f t="shared" si="60"/>
        <v>740095.58173899224</v>
      </c>
      <c r="V30" s="152">
        <f t="shared" si="60"/>
        <v>754897.49337377213</v>
      </c>
      <c r="W30" s="152">
        <f t="shared" si="60"/>
        <v>769995.44324124756</v>
      </c>
      <c r="X30" s="152">
        <f t="shared" si="60"/>
        <v>785395.35210607247</v>
      </c>
      <c r="Y30" s="152">
        <f t="shared" si="60"/>
        <v>801103.25914819399</v>
      </c>
      <c r="Z30" s="152">
        <f t="shared" si="60"/>
        <v>817125.32433115784</v>
      </c>
      <c r="AA30" s="152">
        <f t="shared" si="60"/>
        <v>833467.83081778104</v>
      </c>
      <c r="AB30" s="152">
        <f t="shared" si="60"/>
        <v>850137.18743413663</v>
      </c>
      <c r="AC30" s="152">
        <f t="shared" si="60"/>
        <v>867139.93118281942</v>
      </c>
      <c r="AD30" s="152">
        <f t="shared" si="60"/>
        <v>884482.72980647581</v>
      </c>
      <c r="AE30" s="152">
        <f t="shared" si="60"/>
        <v>902172.38440260536</v>
      </c>
      <c r="AF30" s="152">
        <f t="shared" si="60"/>
        <v>920215.83209065744</v>
      </c>
      <c r="AG30" s="152">
        <f t="shared" si="60"/>
        <v>938620.14873247058</v>
      </c>
      <c r="AH30" s="152">
        <f t="shared" si="60"/>
        <v>957392.55170712003</v>
      </c>
      <c r="AI30" s="152">
        <f t="shared" si="60"/>
        <v>976540.40274126246</v>
      </c>
      <c r="AJ30" s="152">
        <f t="shared" si="60"/>
        <v>996071.21079608775</v>
      </c>
      <c r="AK30" s="152">
        <f t="shared" si="60"/>
        <v>1015992.6350120095</v>
      </c>
      <c r="AL30" s="152">
        <f t="shared" si="60"/>
        <v>1036312.4877122497</v>
      </c>
      <c r="AM30" s="152">
        <f t="shared" si="60"/>
        <v>1057038.7374664948</v>
      </c>
      <c r="AN30" s="152">
        <f t="shared" si="60"/>
        <v>1078179.5122158248</v>
      </c>
      <c r="AO30" s="152">
        <f t="shared" si="60"/>
        <v>1099743.1024601413</v>
      </c>
      <c r="AP30" s="152">
        <f t="shared" si="60"/>
        <v>1121737.9645093442</v>
      </c>
      <c r="AQ30" s="152">
        <f t="shared" si="60"/>
        <v>1144172.7237995311</v>
      </c>
      <c r="AR30" s="152">
        <f t="shared" si="60"/>
        <v>1167056.1782755218</v>
      </c>
      <c r="AS30" s="152">
        <f t="shared" si="60"/>
        <v>1190397.3018410322</v>
      </c>
      <c r="AT30" s="152">
        <f t="shared" si="60"/>
        <v>1214205.247877853</v>
      </c>
      <c r="AU30" s="152">
        <f t="shared" si="60"/>
        <v>1238489.35283541</v>
      </c>
      <c r="AV30" s="152">
        <f t="shared" si="60"/>
        <v>1263259.1398921183</v>
      </c>
      <c r="AW30" s="152">
        <f t="shared" si="60"/>
        <v>1288524.3226899607</v>
      </c>
    </row>
    <row r="31" spans="1:49" x14ac:dyDescent="0.2">
      <c r="A31" s="118" t="s">
        <v>41</v>
      </c>
      <c r="B31" s="112"/>
      <c r="C31" s="112"/>
      <c r="D31" s="136"/>
      <c r="E31" s="127"/>
      <c r="F31" s="127"/>
      <c r="G31" s="127"/>
      <c r="H31" s="127"/>
      <c r="I31" s="127"/>
      <c r="J31" s="127"/>
      <c r="K31" s="127"/>
      <c r="L31" s="127"/>
      <c r="M31" s="127"/>
      <c r="N31" s="222"/>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row>
    <row r="32" spans="1:49" x14ac:dyDescent="0.2">
      <c r="A32" s="39" t="s">
        <v>113</v>
      </c>
      <c r="B32" s="108"/>
      <c r="C32" s="31">
        <v>283135</v>
      </c>
      <c r="D32" s="134">
        <v>264436</v>
      </c>
      <c r="E32" s="56">
        <v>269741</v>
      </c>
      <c r="F32" s="126">
        <v>294681</v>
      </c>
      <c r="G32" s="126">
        <v>299443</v>
      </c>
      <c r="H32" s="126">
        <v>305333</v>
      </c>
      <c r="I32" s="126">
        <v>249306</v>
      </c>
      <c r="J32" s="126">
        <v>212088</v>
      </c>
      <c r="K32" s="126">
        <v>206633</v>
      </c>
      <c r="L32" s="126">
        <v>182061</v>
      </c>
      <c r="M32" s="178">
        <v>141089</v>
      </c>
      <c r="N32" s="217">
        <v>107755.92</v>
      </c>
      <c r="O32" s="152">
        <f>N32*(1+O$7)</f>
        <v>109911.0384</v>
      </c>
      <c r="P32" s="152">
        <f t="shared" ref="P32:Q33" si="61">O32*(1+P$7)</f>
        <v>112109.259168</v>
      </c>
      <c r="Q32" s="181">
        <v>258000</v>
      </c>
      <c r="R32" s="152">
        <f t="shared" ref="R32:AW32" si="62">Q32*(1+R$7)</f>
        <v>263160</v>
      </c>
      <c r="S32" s="152">
        <f t="shared" si="62"/>
        <v>268423.2</v>
      </c>
      <c r="T32" s="152">
        <f t="shared" si="62"/>
        <v>273791.66399999999</v>
      </c>
      <c r="U32" s="152">
        <f t="shared" si="62"/>
        <v>279267.49728000001</v>
      </c>
      <c r="V32" s="152">
        <f t="shared" si="62"/>
        <v>284852.84722560004</v>
      </c>
      <c r="W32" s="152">
        <f t="shared" si="62"/>
        <v>290549.90417011204</v>
      </c>
      <c r="X32" s="152">
        <f t="shared" si="62"/>
        <v>296360.90225351427</v>
      </c>
      <c r="Y32" s="152">
        <f t="shared" si="62"/>
        <v>302288.12029858457</v>
      </c>
      <c r="Z32" s="152">
        <f t="shared" si="62"/>
        <v>308333.88270455628</v>
      </c>
      <c r="AA32" s="152">
        <f t="shared" si="62"/>
        <v>314500.56035864743</v>
      </c>
      <c r="AB32" s="152">
        <f t="shared" si="62"/>
        <v>320790.57156582037</v>
      </c>
      <c r="AC32" s="152">
        <f t="shared" si="62"/>
        <v>327206.3829971368</v>
      </c>
      <c r="AD32" s="152">
        <f t="shared" si="62"/>
        <v>333750.51065707952</v>
      </c>
      <c r="AE32" s="152">
        <f t="shared" si="62"/>
        <v>340425.52087022114</v>
      </c>
      <c r="AF32" s="152">
        <f t="shared" si="62"/>
        <v>347234.03128762555</v>
      </c>
      <c r="AG32" s="152">
        <f t="shared" si="62"/>
        <v>354178.71191337809</v>
      </c>
      <c r="AH32" s="152">
        <f t="shared" si="62"/>
        <v>361262.28615164565</v>
      </c>
      <c r="AI32" s="152">
        <f t="shared" si="62"/>
        <v>368487.53187467856</v>
      </c>
      <c r="AJ32" s="152">
        <f t="shared" si="62"/>
        <v>375857.28251217213</v>
      </c>
      <c r="AK32" s="152">
        <f t="shared" si="62"/>
        <v>383374.42816241557</v>
      </c>
      <c r="AL32" s="152">
        <f t="shared" si="62"/>
        <v>391041.91672566388</v>
      </c>
      <c r="AM32" s="152">
        <f t="shared" si="62"/>
        <v>398862.75506017718</v>
      </c>
      <c r="AN32" s="152">
        <f t="shared" si="62"/>
        <v>406840.01016138075</v>
      </c>
      <c r="AO32" s="152">
        <f t="shared" si="62"/>
        <v>414976.81036460836</v>
      </c>
      <c r="AP32" s="152">
        <f t="shared" si="62"/>
        <v>423276.34657190053</v>
      </c>
      <c r="AQ32" s="152">
        <f t="shared" si="62"/>
        <v>431741.87350333855</v>
      </c>
      <c r="AR32" s="152">
        <f t="shared" si="62"/>
        <v>440376.71097340534</v>
      </c>
      <c r="AS32" s="152">
        <f t="shared" si="62"/>
        <v>449184.24519287347</v>
      </c>
      <c r="AT32" s="152">
        <f t="shared" si="62"/>
        <v>458167.93009673094</v>
      </c>
      <c r="AU32" s="152">
        <f t="shared" si="62"/>
        <v>467331.28869866556</v>
      </c>
      <c r="AV32" s="152">
        <f t="shared" si="62"/>
        <v>476677.91447263886</v>
      </c>
      <c r="AW32" s="152">
        <f t="shared" si="62"/>
        <v>486211.47276209167</v>
      </c>
    </row>
    <row r="33" spans="1:49" ht="15" x14ac:dyDescent="0.25">
      <c r="A33" s="39" t="s">
        <v>40</v>
      </c>
      <c r="B33" s="108"/>
      <c r="C33" s="31">
        <v>166000</v>
      </c>
      <c r="D33" s="134">
        <v>127562</v>
      </c>
      <c r="E33" s="56">
        <v>162130</v>
      </c>
      <c r="F33" s="126">
        <v>137189</v>
      </c>
      <c r="G33" s="126">
        <v>240321</v>
      </c>
      <c r="H33" s="126">
        <v>89161</v>
      </c>
      <c r="I33" s="126">
        <v>79432</v>
      </c>
      <c r="J33" s="126">
        <v>118534</v>
      </c>
      <c r="K33" s="178">
        <v>99395</v>
      </c>
      <c r="L33" s="179">
        <v>94105</v>
      </c>
      <c r="M33" s="179">
        <v>75317</v>
      </c>
      <c r="N33" s="217">
        <v>55866.78</v>
      </c>
      <c r="O33" s="207">
        <f t="shared" ref="O33" si="63">AVERAGE(L33:N33)</f>
        <v>75096.259999999995</v>
      </c>
      <c r="P33" s="152">
        <f t="shared" si="61"/>
        <v>76598.185199999993</v>
      </c>
      <c r="Q33" s="152">
        <f t="shared" si="61"/>
        <v>78130.148903999987</v>
      </c>
      <c r="R33" s="152">
        <f t="shared" ref="R33:AW33" si="64">Q33*(1+R$7)</f>
        <v>79692.751882079989</v>
      </c>
      <c r="S33" s="152">
        <f t="shared" si="64"/>
        <v>81286.606919721584</v>
      </c>
      <c r="T33" s="152">
        <f t="shared" si="64"/>
        <v>82912.33905811602</v>
      </c>
      <c r="U33" s="152">
        <f t="shared" si="64"/>
        <v>84570.585839278341</v>
      </c>
      <c r="V33" s="152">
        <f t="shared" si="64"/>
        <v>86261.997556063914</v>
      </c>
      <c r="W33" s="152">
        <f t="shared" si="64"/>
        <v>87987.2375071852</v>
      </c>
      <c r="X33" s="152">
        <f t="shared" si="64"/>
        <v>89746.982257328913</v>
      </c>
      <c r="Y33" s="152">
        <f t="shared" si="64"/>
        <v>91541.921902475486</v>
      </c>
      <c r="Z33" s="152">
        <f t="shared" si="64"/>
        <v>93372.760340524997</v>
      </c>
      <c r="AA33" s="152">
        <f t="shared" si="64"/>
        <v>95240.215547335494</v>
      </c>
      <c r="AB33" s="152">
        <f t="shared" si="64"/>
        <v>97145.019858282205</v>
      </c>
      <c r="AC33" s="152">
        <f t="shared" si="64"/>
        <v>99087.920255447854</v>
      </c>
      <c r="AD33" s="152">
        <f t="shared" si="64"/>
        <v>101069.67866055682</v>
      </c>
      <c r="AE33" s="152">
        <f t="shared" si="64"/>
        <v>103091.07223376796</v>
      </c>
      <c r="AF33" s="152">
        <f t="shared" si="64"/>
        <v>105152.89367844332</v>
      </c>
      <c r="AG33" s="152">
        <f t="shared" si="64"/>
        <v>107255.95155201218</v>
      </c>
      <c r="AH33" s="152">
        <f t="shared" si="64"/>
        <v>109401.07058305242</v>
      </c>
      <c r="AI33" s="152">
        <f t="shared" si="64"/>
        <v>111589.09199471347</v>
      </c>
      <c r="AJ33" s="152">
        <f t="shared" si="64"/>
        <v>113820.87383460774</v>
      </c>
      <c r="AK33" s="152">
        <f t="shared" si="64"/>
        <v>116097.29131129989</v>
      </c>
      <c r="AL33" s="152">
        <f t="shared" si="64"/>
        <v>118419.2371375259</v>
      </c>
      <c r="AM33" s="152">
        <f t="shared" si="64"/>
        <v>120787.62188027642</v>
      </c>
      <c r="AN33" s="152">
        <f t="shared" si="64"/>
        <v>123203.37431788196</v>
      </c>
      <c r="AO33" s="152">
        <f t="shared" si="64"/>
        <v>125667.4418042396</v>
      </c>
      <c r="AP33" s="152">
        <f t="shared" si="64"/>
        <v>128180.7906403244</v>
      </c>
      <c r="AQ33" s="152">
        <f t="shared" si="64"/>
        <v>130744.40645313088</v>
      </c>
      <c r="AR33" s="152">
        <f t="shared" si="64"/>
        <v>133359.29458219351</v>
      </c>
      <c r="AS33" s="152">
        <f t="shared" si="64"/>
        <v>136026.48047383738</v>
      </c>
      <c r="AT33" s="152">
        <f t="shared" si="64"/>
        <v>138747.01008331412</v>
      </c>
      <c r="AU33" s="152">
        <f t="shared" si="64"/>
        <v>141521.95028498041</v>
      </c>
      <c r="AV33" s="152">
        <f t="shared" si="64"/>
        <v>144352.38929068003</v>
      </c>
      <c r="AW33" s="152">
        <f t="shared" si="64"/>
        <v>147239.43707649363</v>
      </c>
    </row>
    <row r="34" spans="1:49" x14ac:dyDescent="0.2">
      <c r="A34" s="119" t="s">
        <v>42</v>
      </c>
      <c r="B34" s="112"/>
      <c r="C34" s="112"/>
      <c r="D34" s="136"/>
      <c r="E34" s="127"/>
      <c r="F34" s="127"/>
      <c r="G34" s="127"/>
      <c r="H34" s="127"/>
      <c r="I34" s="127"/>
      <c r="J34" s="127"/>
      <c r="K34" s="127"/>
      <c r="L34" s="127"/>
      <c r="M34" s="127"/>
      <c r="N34" s="222"/>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row>
    <row r="35" spans="1:49" x14ac:dyDescent="0.2">
      <c r="A35" s="39" t="s">
        <v>113</v>
      </c>
      <c r="B35" s="93"/>
      <c r="C35" s="31">
        <v>115443</v>
      </c>
      <c r="D35" s="134">
        <v>125531</v>
      </c>
      <c r="E35" s="56">
        <v>135355</v>
      </c>
      <c r="F35" s="126">
        <v>133383</v>
      </c>
      <c r="G35" s="126">
        <v>135979</v>
      </c>
      <c r="H35" s="126">
        <v>137355</v>
      </c>
      <c r="I35" s="126">
        <v>135112</v>
      </c>
      <c r="J35" s="126">
        <v>136381</v>
      </c>
      <c r="K35" s="126">
        <v>146837</v>
      </c>
      <c r="L35" s="126">
        <v>150019</v>
      </c>
      <c r="M35" s="178">
        <v>153262</v>
      </c>
      <c r="N35" s="217">
        <v>151642.12</v>
      </c>
      <c r="O35" s="152">
        <f t="shared" ref="O35:Q36" si="65">N35*(1+O$7)</f>
        <v>154674.96239999999</v>
      </c>
      <c r="P35" s="152">
        <f t="shared" si="65"/>
        <v>157768.461648</v>
      </c>
      <c r="Q35" s="152">
        <f t="shared" si="65"/>
        <v>160923.83088096001</v>
      </c>
      <c r="R35" s="152">
        <f t="shared" ref="R35:AW35" si="66">Q35*(1+R$7)</f>
        <v>164142.3074985792</v>
      </c>
      <c r="S35" s="152">
        <f t="shared" si="66"/>
        <v>167425.1536485508</v>
      </c>
      <c r="T35" s="152">
        <f t="shared" si="66"/>
        <v>170773.65672152181</v>
      </c>
      <c r="U35" s="152">
        <f t="shared" si="66"/>
        <v>174189.12985595225</v>
      </c>
      <c r="V35" s="152">
        <f t="shared" si="66"/>
        <v>177672.9124530713</v>
      </c>
      <c r="W35" s="152">
        <f t="shared" si="66"/>
        <v>181226.37070213273</v>
      </c>
      <c r="X35" s="152">
        <f t="shared" si="66"/>
        <v>184850.89811617538</v>
      </c>
      <c r="Y35" s="152">
        <f t="shared" si="66"/>
        <v>188547.91607849888</v>
      </c>
      <c r="Z35" s="152">
        <f t="shared" si="66"/>
        <v>192318.87440006886</v>
      </c>
      <c r="AA35" s="152">
        <f t="shared" si="66"/>
        <v>196165.25188807023</v>
      </c>
      <c r="AB35" s="152">
        <f t="shared" si="66"/>
        <v>200088.55692583162</v>
      </c>
      <c r="AC35" s="152">
        <f t="shared" si="66"/>
        <v>204090.32806434826</v>
      </c>
      <c r="AD35" s="152">
        <f t="shared" si="66"/>
        <v>208172.13462563523</v>
      </c>
      <c r="AE35" s="152">
        <f t="shared" si="66"/>
        <v>212335.57731814793</v>
      </c>
      <c r="AF35" s="152">
        <f t="shared" si="66"/>
        <v>216582.28886451089</v>
      </c>
      <c r="AG35" s="152">
        <f t="shared" si="66"/>
        <v>220913.93464180111</v>
      </c>
      <c r="AH35" s="152">
        <f t="shared" si="66"/>
        <v>225332.21333463714</v>
      </c>
      <c r="AI35" s="152">
        <f t="shared" si="66"/>
        <v>229838.85760132989</v>
      </c>
      <c r="AJ35" s="152">
        <f t="shared" si="66"/>
        <v>234435.63475335648</v>
      </c>
      <c r="AK35" s="152">
        <f t="shared" si="66"/>
        <v>239124.34744842362</v>
      </c>
      <c r="AL35" s="152">
        <f t="shared" si="66"/>
        <v>243906.83439739209</v>
      </c>
      <c r="AM35" s="152">
        <f t="shared" si="66"/>
        <v>248784.97108533993</v>
      </c>
      <c r="AN35" s="152">
        <f t="shared" si="66"/>
        <v>253760.67050704674</v>
      </c>
      <c r="AO35" s="152">
        <f t="shared" si="66"/>
        <v>258835.88391718769</v>
      </c>
      <c r="AP35" s="152">
        <f t="shared" si="66"/>
        <v>264012.60159553145</v>
      </c>
      <c r="AQ35" s="152">
        <f t="shared" si="66"/>
        <v>269292.85362744209</v>
      </c>
      <c r="AR35" s="152">
        <f t="shared" si="66"/>
        <v>274678.71069999092</v>
      </c>
      <c r="AS35" s="152">
        <f t="shared" si="66"/>
        <v>280172.28491399076</v>
      </c>
      <c r="AT35" s="152">
        <f t="shared" si="66"/>
        <v>285775.73061227059</v>
      </c>
      <c r="AU35" s="152">
        <f t="shared" si="66"/>
        <v>291491.24522451602</v>
      </c>
      <c r="AV35" s="152">
        <f t="shared" si="66"/>
        <v>297321.07012900634</v>
      </c>
      <c r="AW35" s="152">
        <f t="shared" si="66"/>
        <v>303267.49153158645</v>
      </c>
    </row>
    <row r="36" spans="1:49" ht="15" x14ac:dyDescent="0.25">
      <c r="A36" s="39" t="s">
        <v>40</v>
      </c>
      <c r="B36" s="93"/>
      <c r="C36" s="31">
        <v>32000</v>
      </c>
      <c r="D36" s="134">
        <v>31045</v>
      </c>
      <c r="E36" s="56">
        <v>41734</v>
      </c>
      <c r="F36" s="126">
        <v>37926</v>
      </c>
      <c r="G36" s="126">
        <v>44865</v>
      </c>
      <c r="H36" s="126">
        <v>39193</v>
      </c>
      <c r="I36" s="126">
        <v>86947</v>
      </c>
      <c r="J36" s="126">
        <v>48176</v>
      </c>
      <c r="K36" s="178">
        <v>47745</v>
      </c>
      <c r="L36" s="179">
        <v>42470</v>
      </c>
      <c r="M36" s="179">
        <v>43321</v>
      </c>
      <c r="N36" s="217">
        <v>42479.58</v>
      </c>
      <c r="O36" s="207">
        <f t="shared" ref="O36" si="67">AVERAGE(L36:N36)</f>
        <v>42756.86</v>
      </c>
      <c r="P36" s="152">
        <f t="shared" si="65"/>
        <v>43611.997199999998</v>
      </c>
      <c r="Q36" s="152">
        <f t="shared" si="65"/>
        <v>44484.237143999999</v>
      </c>
      <c r="R36" s="152">
        <f t="shared" ref="R36:AW36" si="68">Q36*(1+R$7)</f>
        <v>45373.921886880002</v>
      </c>
      <c r="S36" s="152">
        <f t="shared" si="68"/>
        <v>46281.4003246176</v>
      </c>
      <c r="T36" s="152">
        <f t="shared" si="68"/>
        <v>47207.028331109956</v>
      </c>
      <c r="U36" s="152">
        <f t="shared" si="68"/>
        <v>48151.168897732154</v>
      </c>
      <c r="V36" s="152">
        <f t="shared" si="68"/>
        <v>49114.192275686801</v>
      </c>
      <c r="W36" s="152">
        <f t="shared" si="68"/>
        <v>50096.47612120054</v>
      </c>
      <c r="X36" s="152">
        <f t="shared" si="68"/>
        <v>51098.405643624552</v>
      </c>
      <c r="Y36" s="152">
        <f t="shared" si="68"/>
        <v>52120.373756497043</v>
      </c>
      <c r="Z36" s="152">
        <f t="shared" si="68"/>
        <v>53162.781231626985</v>
      </c>
      <c r="AA36" s="152">
        <f t="shared" si="68"/>
        <v>54226.036856259525</v>
      </c>
      <c r="AB36" s="152">
        <f t="shared" si="68"/>
        <v>55310.557593384714</v>
      </c>
      <c r="AC36" s="152">
        <f t="shared" si="68"/>
        <v>56416.768745252411</v>
      </c>
      <c r="AD36" s="152">
        <f t="shared" si="68"/>
        <v>57545.104120157463</v>
      </c>
      <c r="AE36" s="152">
        <f t="shared" si="68"/>
        <v>58696.006202560609</v>
      </c>
      <c r="AF36" s="152">
        <f t="shared" si="68"/>
        <v>59869.926326611821</v>
      </c>
      <c r="AG36" s="152">
        <f t="shared" si="68"/>
        <v>61067.324853144062</v>
      </c>
      <c r="AH36" s="152">
        <f t="shared" si="68"/>
        <v>62288.671350206947</v>
      </c>
      <c r="AI36" s="152">
        <f t="shared" si="68"/>
        <v>63534.444777211087</v>
      </c>
      <c r="AJ36" s="152">
        <f t="shared" si="68"/>
        <v>64805.133672755313</v>
      </c>
      <c r="AK36" s="152">
        <f t="shared" si="68"/>
        <v>66101.236346210426</v>
      </c>
      <c r="AL36" s="152">
        <f t="shared" si="68"/>
        <v>67423.261073134636</v>
      </c>
      <c r="AM36" s="152">
        <f t="shared" si="68"/>
        <v>68771.726294597334</v>
      </c>
      <c r="AN36" s="152">
        <f t="shared" si="68"/>
        <v>70147.160820489284</v>
      </c>
      <c r="AO36" s="152">
        <f t="shared" si="68"/>
        <v>71550.104036899065</v>
      </c>
      <c r="AP36" s="152">
        <f t="shared" si="68"/>
        <v>72981.106117637042</v>
      </c>
      <c r="AQ36" s="152">
        <f t="shared" si="68"/>
        <v>74440.728239989781</v>
      </c>
      <c r="AR36" s="152">
        <f t="shared" si="68"/>
        <v>75929.542804789584</v>
      </c>
      <c r="AS36" s="152">
        <f t="shared" si="68"/>
        <v>77448.133660885374</v>
      </c>
      <c r="AT36" s="152">
        <f t="shared" si="68"/>
        <v>78997.096334103087</v>
      </c>
      <c r="AU36" s="152">
        <f t="shared" si="68"/>
        <v>80577.03826078515</v>
      </c>
      <c r="AV36" s="152">
        <f t="shared" si="68"/>
        <v>82188.579026000851</v>
      </c>
      <c r="AW36" s="152">
        <f t="shared" si="68"/>
        <v>83832.350606520864</v>
      </c>
    </row>
    <row r="37" spans="1:49" x14ac:dyDescent="0.2">
      <c r="A37" s="118" t="s">
        <v>43</v>
      </c>
      <c r="B37" s="112"/>
      <c r="C37" s="112"/>
      <c r="D37" s="136"/>
      <c r="E37" s="127"/>
      <c r="F37" s="127"/>
      <c r="G37" s="127"/>
      <c r="H37" s="127"/>
      <c r="I37" s="127"/>
      <c r="J37" s="127"/>
      <c r="K37" s="127"/>
      <c r="L37" s="127"/>
      <c r="M37" s="127"/>
      <c r="N37" s="222"/>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row>
    <row r="38" spans="1:49" x14ac:dyDescent="0.2">
      <c r="A38" s="39" t="s">
        <v>44</v>
      </c>
      <c r="B38" s="93"/>
      <c r="C38" s="31">
        <v>0</v>
      </c>
      <c r="D38" s="134">
        <v>0</v>
      </c>
      <c r="E38" s="56"/>
      <c r="F38" s="138"/>
      <c r="G38" s="138"/>
      <c r="H38" s="138"/>
      <c r="I38" s="138"/>
      <c r="J38" s="138"/>
      <c r="K38" s="138"/>
      <c r="L38" s="138"/>
      <c r="M38" s="138"/>
      <c r="N38" s="22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row>
    <row r="39" spans="1:49" x14ac:dyDescent="0.2">
      <c r="A39" s="39" t="s">
        <v>54</v>
      </c>
      <c r="B39" s="93"/>
      <c r="C39" s="31">
        <v>758877</v>
      </c>
      <c r="D39" s="134">
        <v>473491</v>
      </c>
      <c r="E39" s="56">
        <v>473491</v>
      </c>
      <c r="F39" s="126">
        <v>473491</v>
      </c>
      <c r="G39" s="126">
        <v>473491</v>
      </c>
      <c r="H39" s="126">
        <v>473491</v>
      </c>
      <c r="I39" s="126">
        <v>473491</v>
      </c>
      <c r="J39" s="126">
        <v>473491</v>
      </c>
      <c r="K39" s="126">
        <v>473491</v>
      </c>
      <c r="L39" s="126">
        <v>473491</v>
      </c>
      <c r="M39" s="178">
        <v>473491</v>
      </c>
      <c r="N39" s="217">
        <v>473491</v>
      </c>
      <c r="O39" s="152">
        <v>473491</v>
      </c>
      <c r="P39" s="152">
        <v>473491</v>
      </c>
      <c r="Q39" s="152">
        <v>473491</v>
      </c>
      <c r="R39" s="152">
        <v>473491</v>
      </c>
      <c r="S39" s="152">
        <v>473491</v>
      </c>
      <c r="T39" s="181">
        <v>473491</v>
      </c>
      <c r="U39" s="175">
        <v>0</v>
      </c>
      <c r="V39" s="175">
        <v>0</v>
      </c>
      <c r="W39" s="175">
        <v>0</v>
      </c>
      <c r="X39" s="175">
        <v>0</v>
      </c>
      <c r="Y39" s="175">
        <v>0</v>
      </c>
      <c r="Z39" s="175">
        <v>0</v>
      </c>
      <c r="AA39" s="175">
        <v>0</v>
      </c>
      <c r="AB39" s="175">
        <v>0</v>
      </c>
      <c r="AC39" s="175">
        <v>0</v>
      </c>
      <c r="AD39" s="175">
        <v>0</v>
      </c>
      <c r="AE39" s="175">
        <v>0</v>
      </c>
      <c r="AF39" s="175">
        <v>0</v>
      </c>
      <c r="AG39" s="175">
        <v>0</v>
      </c>
      <c r="AH39" s="175">
        <v>0</v>
      </c>
      <c r="AI39" s="175">
        <v>0</v>
      </c>
      <c r="AJ39" s="175">
        <v>0</v>
      </c>
      <c r="AK39" s="175">
        <v>0</v>
      </c>
      <c r="AL39" s="175">
        <v>0</v>
      </c>
      <c r="AM39" s="175">
        <v>0</v>
      </c>
      <c r="AN39" s="175">
        <v>0</v>
      </c>
      <c r="AO39" s="175">
        <v>0</v>
      </c>
      <c r="AP39" s="175">
        <v>0</v>
      </c>
      <c r="AQ39" s="175">
        <v>0</v>
      </c>
      <c r="AR39" s="175">
        <v>0</v>
      </c>
      <c r="AS39" s="175">
        <v>0</v>
      </c>
      <c r="AT39" s="175">
        <v>0</v>
      </c>
      <c r="AU39" s="175">
        <v>0</v>
      </c>
      <c r="AV39" s="175">
        <v>0</v>
      </c>
      <c r="AW39" s="175">
        <v>0</v>
      </c>
    </row>
    <row r="40" spans="1:49" x14ac:dyDescent="0.2">
      <c r="A40" s="39" t="s">
        <v>45</v>
      </c>
      <c r="B40" s="93"/>
      <c r="C40" s="31">
        <v>8325</v>
      </c>
      <c r="D40" s="134">
        <v>8325</v>
      </c>
      <c r="E40" s="56">
        <v>8325</v>
      </c>
      <c r="F40" s="126">
        <v>8325</v>
      </c>
      <c r="G40" s="126">
        <v>8325</v>
      </c>
      <c r="H40" s="126">
        <v>8325</v>
      </c>
      <c r="I40" s="126">
        <v>8325</v>
      </c>
      <c r="J40" s="126">
        <v>8325</v>
      </c>
      <c r="K40" s="126">
        <v>4163</v>
      </c>
      <c r="L40" s="126">
        <v>8325</v>
      </c>
      <c r="M40" s="178">
        <v>8325</v>
      </c>
      <c r="N40" s="217">
        <v>4162.08</v>
      </c>
      <c r="O40" s="152">
        <v>8325</v>
      </c>
      <c r="P40" s="152">
        <v>8325</v>
      </c>
      <c r="Q40" s="152">
        <v>8325</v>
      </c>
      <c r="R40" s="152">
        <v>8325</v>
      </c>
      <c r="S40" s="152">
        <v>8325</v>
      </c>
      <c r="T40" s="152">
        <v>8325</v>
      </c>
      <c r="U40" s="152">
        <v>8325</v>
      </c>
      <c r="V40" s="152">
        <v>8325</v>
      </c>
      <c r="W40" s="152">
        <v>8325</v>
      </c>
      <c r="X40" s="152">
        <v>8325</v>
      </c>
      <c r="Y40" s="152">
        <v>8325</v>
      </c>
      <c r="Z40" s="152">
        <v>8325</v>
      </c>
      <c r="AA40" s="152">
        <v>8325</v>
      </c>
      <c r="AB40" s="152">
        <v>8325</v>
      </c>
      <c r="AC40" s="152">
        <v>8325</v>
      </c>
      <c r="AD40" s="152">
        <v>8325</v>
      </c>
      <c r="AE40" s="152">
        <v>8325</v>
      </c>
      <c r="AF40" s="152">
        <v>8325</v>
      </c>
      <c r="AG40" s="152">
        <v>8325</v>
      </c>
      <c r="AH40" s="152">
        <v>8325</v>
      </c>
      <c r="AI40" s="152">
        <v>8325</v>
      </c>
      <c r="AJ40" s="152">
        <v>8325</v>
      </c>
      <c r="AK40" s="152">
        <v>8325</v>
      </c>
      <c r="AL40" s="152">
        <v>8325</v>
      </c>
      <c r="AM40" s="152">
        <v>8325</v>
      </c>
      <c r="AN40" s="152">
        <v>8325</v>
      </c>
      <c r="AO40" s="152">
        <v>8325</v>
      </c>
      <c r="AP40" s="152">
        <v>8325</v>
      </c>
      <c r="AQ40" s="152">
        <v>8325</v>
      </c>
      <c r="AR40" s="152">
        <v>8325</v>
      </c>
      <c r="AS40" s="152">
        <v>8325</v>
      </c>
      <c r="AT40" s="152">
        <v>8325</v>
      </c>
      <c r="AU40" s="152">
        <v>8325</v>
      </c>
      <c r="AV40" s="152">
        <v>8325</v>
      </c>
      <c r="AW40" s="152">
        <v>8325</v>
      </c>
    </row>
    <row r="41" spans="1:49" x14ac:dyDescent="0.2">
      <c r="A41" s="39" t="s">
        <v>114</v>
      </c>
      <c r="B41" s="93"/>
      <c r="C41" s="31">
        <v>40000</v>
      </c>
      <c r="D41" s="134">
        <v>80000</v>
      </c>
      <c r="E41" s="56">
        <v>20000</v>
      </c>
      <c r="F41" s="126">
        <v>40000</v>
      </c>
      <c r="G41" s="126">
        <v>40000</v>
      </c>
      <c r="H41" s="126">
        <v>40000</v>
      </c>
      <c r="I41" s="126">
        <v>40000</v>
      </c>
      <c r="J41" s="126">
        <v>40000</v>
      </c>
      <c r="K41" s="126">
        <v>40000</v>
      </c>
      <c r="L41" s="126">
        <v>40000</v>
      </c>
      <c r="M41" s="178">
        <v>40000</v>
      </c>
      <c r="N41" s="217">
        <v>40000</v>
      </c>
      <c r="O41" s="152">
        <v>40000</v>
      </c>
      <c r="P41" s="152">
        <v>40000</v>
      </c>
      <c r="Q41" s="152">
        <v>40000</v>
      </c>
      <c r="R41" s="152">
        <v>40000</v>
      </c>
      <c r="S41" s="152">
        <v>40000</v>
      </c>
      <c r="T41" s="152">
        <v>40000</v>
      </c>
      <c r="U41" s="152">
        <v>40000</v>
      </c>
      <c r="V41" s="152">
        <v>40000</v>
      </c>
      <c r="W41" s="152">
        <v>40000</v>
      </c>
      <c r="X41" s="152">
        <v>40000</v>
      </c>
      <c r="Y41" s="152">
        <v>40000</v>
      </c>
      <c r="Z41" s="152">
        <v>40000</v>
      </c>
      <c r="AA41" s="152">
        <v>40000</v>
      </c>
      <c r="AB41" s="152">
        <v>40000</v>
      </c>
      <c r="AC41" s="152">
        <v>40000</v>
      </c>
      <c r="AD41" s="152">
        <v>40000</v>
      </c>
      <c r="AE41" s="152">
        <v>40000</v>
      </c>
      <c r="AF41" s="152">
        <v>40000</v>
      </c>
      <c r="AG41" s="152">
        <v>40000</v>
      </c>
      <c r="AH41" s="152">
        <v>40000</v>
      </c>
      <c r="AI41" s="152">
        <v>40000</v>
      </c>
      <c r="AJ41" s="152">
        <v>40000</v>
      </c>
      <c r="AK41" s="152">
        <v>40000</v>
      </c>
      <c r="AL41" s="152">
        <v>40000</v>
      </c>
      <c r="AM41" s="152">
        <v>40000</v>
      </c>
      <c r="AN41" s="152">
        <v>40000</v>
      </c>
      <c r="AO41" s="152">
        <v>40000</v>
      </c>
      <c r="AP41" s="152">
        <v>40000</v>
      </c>
      <c r="AQ41" s="152">
        <v>40000</v>
      </c>
      <c r="AR41" s="152">
        <v>40000</v>
      </c>
      <c r="AS41" s="152">
        <v>40000</v>
      </c>
      <c r="AT41" s="152">
        <v>40000</v>
      </c>
      <c r="AU41" s="152">
        <v>40000</v>
      </c>
      <c r="AV41" s="152">
        <v>40000</v>
      </c>
      <c r="AW41" s="152">
        <v>40000</v>
      </c>
    </row>
    <row r="42" spans="1:49" x14ac:dyDescent="0.2">
      <c r="A42" s="39" t="s">
        <v>115</v>
      </c>
      <c r="B42" s="93"/>
      <c r="C42" s="31">
        <v>207576</v>
      </c>
      <c r="D42" s="134">
        <v>241000</v>
      </c>
      <c r="E42" s="56">
        <v>265000</v>
      </c>
      <c r="F42" s="126">
        <v>265000</v>
      </c>
      <c r="G42" s="126">
        <v>302000</v>
      </c>
      <c r="H42" s="126">
        <v>302000</v>
      </c>
      <c r="I42" s="126">
        <v>285000</v>
      </c>
      <c r="J42" s="126">
        <v>314000</v>
      </c>
      <c r="K42" s="178">
        <v>290266</v>
      </c>
      <c r="L42" s="179">
        <v>261800</v>
      </c>
      <c r="M42" s="179">
        <v>298502</v>
      </c>
      <c r="N42" s="217">
        <v>200754</v>
      </c>
      <c r="O42" s="152">
        <v>100754</v>
      </c>
      <c r="P42" s="152">
        <v>100754</v>
      </c>
      <c r="Q42" s="152">
        <v>100754</v>
      </c>
      <c r="R42" s="152">
        <v>100754</v>
      </c>
      <c r="S42" s="152">
        <v>100754</v>
      </c>
      <c r="T42" s="152">
        <v>100754</v>
      </c>
      <c r="U42" s="152">
        <v>100754</v>
      </c>
      <c r="V42" s="152">
        <v>100754</v>
      </c>
      <c r="W42" s="152">
        <v>100754</v>
      </c>
      <c r="X42" s="152">
        <v>100754</v>
      </c>
      <c r="Y42" s="152">
        <v>100754</v>
      </c>
      <c r="Z42" s="152">
        <v>100754</v>
      </c>
      <c r="AA42" s="152">
        <v>100754</v>
      </c>
      <c r="AB42" s="152">
        <v>100754</v>
      </c>
      <c r="AC42" s="152">
        <v>100754</v>
      </c>
      <c r="AD42" s="152">
        <v>100754</v>
      </c>
      <c r="AE42" s="152">
        <v>100754</v>
      </c>
      <c r="AF42" s="152">
        <v>100754</v>
      </c>
      <c r="AG42" s="152">
        <v>100754</v>
      </c>
      <c r="AH42" s="152">
        <v>100754</v>
      </c>
      <c r="AI42" s="152">
        <v>100754</v>
      </c>
      <c r="AJ42" s="152">
        <v>100754</v>
      </c>
      <c r="AK42" s="152">
        <v>100754</v>
      </c>
      <c r="AL42" s="152">
        <v>100754</v>
      </c>
      <c r="AM42" s="152">
        <v>100754</v>
      </c>
      <c r="AN42" s="152">
        <v>100754</v>
      </c>
      <c r="AO42" s="152">
        <v>100754</v>
      </c>
      <c r="AP42" s="152">
        <v>100754</v>
      </c>
      <c r="AQ42" s="152">
        <v>100754</v>
      </c>
      <c r="AR42" s="152">
        <v>100754</v>
      </c>
      <c r="AS42" s="152">
        <v>100754</v>
      </c>
      <c r="AT42" s="152">
        <v>100754</v>
      </c>
      <c r="AU42" s="152">
        <v>100754</v>
      </c>
      <c r="AV42" s="152">
        <v>100754</v>
      </c>
      <c r="AW42" s="152">
        <v>100754</v>
      </c>
    </row>
    <row r="43" spans="1:49" x14ac:dyDescent="0.2">
      <c r="A43" s="39" t="s">
        <v>46</v>
      </c>
      <c r="B43" s="93"/>
      <c r="C43" s="31">
        <v>240000</v>
      </c>
      <c r="D43" s="134">
        <v>120000</v>
      </c>
      <c r="E43" s="56">
        <v>120000</v>
      </c>
      <c r="F43" s="126">
        <v>120000</v>
      </c>
      <c r="G43" s="126">
        <v>0</v>
      </c>
      <c r="H43" s="126">
        <v>0</v>
      </c>
      <c r="I43" s="126">
        <v>0</v>
      </c>
      <c r="J43" s="126">
        <v>0</v>
      </c>
      <c r="K43" s="178">
        <v>0</v>
      </c>
      <c r="L43" s="179">
        <v>0</v>
      </c>
      <c r="M43" s="179">
        <v>0</v>
      </c>
      <c r="N43" s="217">
        <v>0</v>
      </c>
      <c r="O43" s="152">
        <v>0</v>
      </c>
      <c r="P43" s="152">
        <v>0</v>
      </c>
      <c r="Q43" s="152">
        <v>0</v>
      </c>
      <c r="R43" s="152">
        <v>0</v>
      </c>
      <c r="S43" s="152">
        <v>0</v>
      </c>
      <c r="T43" s="152">
        <v>0</v>
      </c>
      <c r="U43" s="152">
        <v>0</v>
      </c>
      <c r="V43" s="152">
        <v>0</v>
      </c>
      <c r="W43" s="152">
        <v>0</v>
      </c>
      <c r="X43" s="152">
        <v>0</v>
      </c>
      <c r="Y43" s="152">
        <v>0</v>
      </c>
      <c r="Z43" s="152">
        <v>0</v>
      </c>
      <c r="AA43" s="152">
        <v>0</v>
      </c>
      <c r="AB43" s="152">
        <v>0</v>
      </c>
      <c r="AC43" s="152">
        <v>0</v>
      </c>
      <c r="AD43" s="152">
        <v>0</v>
      </c>
      <c r="AE43" s="152">
        <v>0</v>
      </c>
      <c r="AF43" s="152">
        <v>0</v>
      </c>
      <c r="AG43" s="152">
        <v>0</v>
      </c>
      <c r="AH43" s="152">
        <v>0</v>
      </c>
      <c r="AI43" s="152">
        <v>0</v>
      </c>
      <c r="AJ43" s="152">
        <v>0</v>
      </c>
      <c r="AK43" s="152">
        <v>0</v>
      </c>
      <c r="AL43" s="152">
        <v>0</v>
      </c>
      <c r="AM43" s="152">
        <v>0</v>
      </c>
      <c r="AN43" s="152">
        <v>0</v>
      </c>
      <c r="AO43" s="152">
        <v>0</v>
      </c>
      <c r="AP43" s="152">
        <v>0</v>
      </c>
      <c r="AQ43" s="152">
        <v>0</v>
      </c>
      <c r="AR43" s="152">
        <v>0</v>
      </c>
      <c r="AS43" s="152">
        <v>0</v>
      </c>
      <c r="AT43" s="152">
        <v>0</v>
      </c>
      <c r="AU43" s="152">
        <v>0</v>
      </c>
      <c r="AV43" s="152">
        <v>0</v>
      </c>
      <c r="AW43" s="152">
        <v>0</v>
      </c>
    </row>
    <row r="44" spans="1:49" x14ac:dyDescent="0.2">
      <c r="A44" s="39" t="s">
        <v>47</v>
      </c>
      <c r="B44" s="93"/>
      <c r="C44" s="31">
        <v>37560</v>
      </c>
      <c r="D44" s="134">
        <v>22950</v>
      </c>
      <c r="E44" s="56">
        <v>15300</v>
      </c>
      <c r="F44" s="126">
        <v>7650</v>
      </c>
      <c r="G44" s="126">
        <v>0</v>
      </c>
      <c r="H44" s="126">
        <v>0</v>
      </c>
      <c r="I44" s="126">
        <v>0</v>
      </c>
      <c r="J44" s="126">
        <v>0</v>
      </c>
      <c r="K44" s="178">
        <v>0</v>
      </c>
      <c r="L44" s="179">
        <v>0</v>
      </c>
      <c r="M44" s="179">
        <v>0</v>
      </c>
      <c r="N44" s="217">
        <v>0</v>
      </c>
      <c r="O44" s="152">
        <v>0</v>
      </c>
      <c r="P44" s="152">
        <v>0</v>
      </c>
      <c r="Q44" s="152">
        <v>0</v>
      </c>
      <c r="R44" s="152">
        <v>0</v>
      </c>
      <c r="S44" s="152">
        <v>0</v>
      </c>
      <c r="T44" s="152">
        <v>0</v>
      </c>
      <c r="U44" s="152">
        <v>0</v>
      </c>
      <c r="V44" s="152">
        <v>0</v>
      </c>
      <c r="W44" s="152">
        <v>0</v>
      </c>
      <c r="X44" s="152">
        <v>0</v>
      </c>
      <c r="Y44" s="152">
        <v>0</v>
      </c>
      <c r="Z44" s="152">
        <v>0</v>
      </c>
      <c r="AA44" s="152">
        <v>0</v>
      </c>
      <c r="AB44" s="152">
        <v>0</v>
      </c>
      <c r="AC44" s="152">
        <v>0</v>
      </c>
      <c r="AD44" s="152">
        <v>0</v>
      </c>
      <c r="AE44" s="152">
        <v>0</v>
      </c>
      <c r="AF44" s="152">
        <v>0</v>
      </c>
      <c r="AG44" s="152">
        <v>0</v>
      </c>
      <c r="AH44" s="152">
        <v>0</v>
      </c>
      <c r="AI44" s="152">
        <v>0</v>
      </c>
      <c r="AJ44" s="152">
        <v>0</v>
      </c>
      <c r="AK44" s="152">
        <v>0</v>
      </c>
      <c r="AL44" s="152">
        <v>0</v>
      </c>
      <c r="AM44" s="152">
        <v>0</v>
      </c>
      <c r="AN44" s="152">
        <v>0</v>
      </c>
      <c r="AO44" s="152">
        <v>0</v>
      </c>
      <c r="AP44" s="152">
        <v>0</v>
      </c>
      <c r="AQ44" s="152">
        <v>0</v>
      </c>
      <c r="AR44" s="152">
        <v>0</v>
      </c>
      <c r="AS44" s="152">
        <v>0</v>
      </c>
      <c r="AT44" s="152">
        <v>0</v>
      </c>
      <c r="AU44" s="152">
        <v>0</v>
      </c>
      <c r="AV44" s="152">
        <v>0</v>
      </c>
      <c r="AW44" s="152">
        <v>0</v>
      </c>
    </row>
    <row r="45" spans="1:49" ht="15" x14ac:dyDescent="0.25">
      <c r="A45" s="39" t="s">
        <v>126</v>
      </c>
      <c r="B45" s="93"/>
      <c r="C45" s="31">
        <v>0</v>
      </c>
      <c r="D45" s="134">
        <v>0</v>
      </c>
      <c r="E45" s="56">
        <v>0</v>
      </c>
      <c r="F45" s="126">
        <v>0</v>
      </c>
      <c r="G45" s="126">
        <v>0</v>
      </c>
      <c r="H45" s="126">
        <v>0</v>
      </c>
      <c r="I45" s="126">
        <v>0</v>
      </c>
      <c r="J45" s="126">
        <v>6108</v>
      </c>
      <c r="K45" s="178">
        <v>9107</v>
      </c>
      <c r="L45" s="179">
        <v>6500</v>
      </c>
      <c r="M45" s="179">
        <v>7717</v>
      </c>
      <c r="N45" s="217">
        <v>4954.2</v>
      </c>
      <c r="O45" s="207">
        <f t="shared" ref="O45" si="69">AVERAGE(L45:N45)</f>
        <v>6390.4000000000005</v>
      </c>
      <c r="P45" s="175">
        <f>ROUND(O45,-2)</f>
        <v>6400</v>
      </c>
      <c r="Q45" s="175">
        <f>ROUND(P45,-2)</f>
        <v>6400</v>
      </c>
      <c r="R45" s="175">
        <f t="shared" ref="R45:AW45" si="70">ROUND(Q45,-2)</f>
        <v>6400</v>
      </c>
      <c r="S45" s="175">
        <f t="shared" si="70"/>
        <v>6400</v>
      </c>
      <c r="T45" s="175">
        <f t="shared" si="70"/>
        <v>6400</v>
      </c>
      <c r="U45" s="175">
        <f t="shared" si="70"/>
        <v>6400</v>
      </c>
      <c r="V45" s="175">
        <f t="shared" si="70"/>
        <v>6400</v>
      </c>
      <c r="W45" s="175">
        <f t="shared" si="70"/>
        <v>6400</v>
      </c>
      <c r="X45" s="175">
        <f t="shared" si="70"/>
        <v>6400</v>
      </c>
      <c r="Y45" s="175">
        <f t="shared" si="70"/>
        <v>6400</v>
      </c>
      <c r="Z45" s="175">
        <f t="shared" si="70"/>
        <v>6400</v>
      </c>
      <c r="AA45" s="175">
        <f t="shared" si="70"/>
        <v>6400</v>
      </c>
      <c r="AB45" s="175">
        <f t="shared" si="70"/>
        <v>6400</v>
      </c>
      <c r="AC45" s="175">
        <f t="shared" si="70"/>
        <v>6400</v>
      </c>
      <c r="AD45" s="175">
        <f t="shared" si="70"/>
        <v>6400</v>
      </c>
      <c r="AE45" s="175">
        <f t="shared" si="70"/>
        <v>6400</v>
      </c>
      <c r="AF45" s="175">
        <f t="shared" si="70"/>
        <v>6400</v>
      </c>
      <c r="AG45" s="175">
        <f t="shared" si="70"/>
        <v>6400</v>
      </c>
      <c r="AH45" s="175">
        <f t="shared" si="70"/>
        <v>6400</v>
      </c>
      <c r="AI45" s="175">
        <f t="shared" si="70"/>
        <v>6400</v>
      </c>
      <c r="AJ45" s="175">
        <f t="shared" si="70"/>
        <v>6400</v>
      </c>
      <c r="AK45" s="175">
        <f t="shared" si="70"/>
        <v>6400</v>
      </c>
      <c r="AL45" s="175">
        <f t="shared" si="70"/>
        <v>6400</v>
      </c>
      <c r="AM45" s="175">
        <f t="shared" si="70"/>
        <v>6400</v>
      </c>
      <c r="AN45" s="175">
        <f t="shared" si="70"/>
        <v>6400</v>
      </c>
      <c r="AO45" s="175">
        <f t="shared" si="70"/>
        <v>6400</v>
      </c>
      <c r="AP45" s="175">
        <f t="shared" si="70"/>
        <v>6400</v>
      </c>
      <c r="AQ45" s="175">
        <f t="shared" si="70"/>
        <v>6400</v>
      </c>
      <c r="AR45" s="175">
        <f t="shared" si="70"/>
        <v>6400</v>
      </c>
      <c r="AS45" s="175">
        <f t="shared" si="70"/>
        <v>6400</v>
      </c>
      <c r="AT45" s="175">
        <f t="shared" si="70"/>
        <v>6400</v>
      </c>
      <c r="AU45" s="175">
        <f t="shared" si="70"/>
        <v>6400</v>
      </c>
      <c r="AV45" s="175">
        <f t="shared" si="70"/>
        <v>6400</v>
      </c>
      <c r="AW45" s="175">
        <f t="shared" si="70"/>
        <v>6400</v>
      </c>
    </row>
    <row r="46" spans="1:49" x14ac:dyDescent="0.2">
      <c r="A46" s="118" t="s">
        <v>48</v>
      </c>
      <c r="B46" s="112"/>
      <c r="C46" s="112"/>
      <c r="D46" s="136"/>
      <c r="E46" s="127"/>
      <c r="F46" s="127"/>
      <c r="G46" s="127"/>
      <c r="H46" s="127"/>
      <c r="I46" s="127"/>
      <c r="J46" s="127"/>
      <c r="K46" s="127"/>
      <c r="L46" s="127"/>
      <c r="M46" s="127"/>
      <c r="N46" s="222"/>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row>
    <row r="47" spans="1:49" ht="15" x14ac:dyDescent="0.25">
      <c r="A47" s="39" t="s">
        <v>146</v>
      </c>
      <c r="B47" s="93"/>
      <c r="C47" s="31">
        <v>1300</v>
      </c>
      <c r="D47" s="134">
        <v>906</v>
      </c>
      <c r="E47" s="56">
        <v>1753</v>
      </c>
      <c r="F47" s="126">
        <v>607</v>
      </c>
      <c r="G47" s="126">
        <v>2</v>
      </c>
      <c r="H47" s="126">
        <v>55</v>
      </c>
      <c r="I47" s="126">
        <v>209</v>
      </c>
      <c r="J47" s="126">
        <v>1141</v>
      </c>
      <c r="K47" s="178">
        <v>167</v>
      </c>
      <c r="L47" s="179">
        <v>187</v>
      </c>
      <c r="M47" s="179">
        <v>727</v>
      </c>
      <c r="N47" s="217">
        <v>258.98</v>
      </c>
      <c r="O47" s="207">
        <f t="shared" ref="O47" si="71">AVERAGE(L47:N47)</f>
        <v>390.99333333333334</v>
      </c>
      <c r="P47" s="152">
        <f t="shared" ref="P47:Q47" si="72">O47*(1+P$7)</f>
        <v>398.81319999999999</v>
      </c>
      <c r="Q47" s="152">
        <f t="shared" si="72"/>
        <v>406.78946400000001</v>
      </c>
      <c r="R47" s="152">
        <f t="shared" ref="R47" si="73">Q47*(1+R$7)</f>
        <v>414.92525327999999</v>
      </c>
      <c r="S47" s="152">
        <f t="shared" ref="S47" si="74">R47*(1+S$7)</f>
        <v>423.2237583456</v>
      </c>
      <c r="T47" s="152">
        <f t="shared" ref="T47" si="75">S47*(1+T$7)</f>
        <v>431.688233512512</v>
      </c>
      <c r="U47" s="152">
        <f t="shared" ref="U47" si="76">T47*(1+U$7)</f>
        <v>440.32199818276223</v>
      </c>
      <c r="V47" s="152">
        <f t="shared" ref="V47" si="77">U47*(1+V$7)</f>
        <v>449.12843814641747</v>
      </c>
      <c r="W47" s="152">
        <f t="shared" ref="W47" si="78">V47*(1+W$7)</f>
        <v>458.1110069093458</v>
      </c>
      <c r="X47" s="152">
        <f t="shared" ref="X47" si="79">W47*(1+X$7)</f>
        <v>467.27322704753271</v>
      </c>
      <c r="Y47" s="152">
        <f t="shared" ref="Y47" si="80">X47*(1+Y$7)</f>
        <v>476.61869158848339</v>
      </c>
      <c r="Z47" s="152">
        <f t="shared" ref="Z47" si="81">Y47*(1+Z$7)</f>
        <v>486.15106542025308</v>
      </c>
      <c r="AA47" s="152">
        <f t="shared" ref="AA47" si="82">Z47*(1+AA$7)</f>
        <v>495.87408672865814</v>
      </c>
      <c r="AB47" s="152">
        <f t="shared" ref="AB47" si="83">AA47*(1+AB$7)</f>
        <v>505.79156846323133</v>
      </c>
      <c r="AC47" s="152">
        <f t="shared" ref="AC47" si="84">AB47*(1+AC$7)</f>
        <v>515.90739983249591</v>
      </c>
      <c r="AD47" s="152">
        <f t="shared" ref="AD47" si="85">AC47*(1+AD$7)</f>
        <v>526.22554782914585</v>
      </c>
      <c r="AE47" s="152">
        <f t="shared" ref="AE47" si="86">AD47*(1+AE$7)</f>
        <v>536.75005878572881</v>
      </c>
      <c r="AF47" s="152">
        <f t="shared" ref="AF47" si="87">AE47*(1+AF$7)</f>
        <v>547.48505996144343</v>
      </c>
      <c r="AG47" s="152">
        <f t="shared" ref="AG47" si="88">AF47*(1+AG$7)</f>
        <v>558.43476116067234</v>
      </c>
      <c r="AH47" s="152">
        <f t="shared" ref="AH47" si="89">AG47*(1+AH$7)</f>
        <v>569.60345638388583</v>
      </c>
      <c r="AI47" s="152">
        <f t="shared" ref="AI47" si="90">AH47*(1+AI$7)</f>
        <v>580.99552551156353</v>
      </c>
      <c r="AJ47" s="152">
        <f t="shared" ref="AJ47" si="91">AI47*(1+AJ$7)</f>
        <v>592.61543602179484</v>
      </c>
      <c r="AK47" s="152">
        <f t="shared" ref="AK47" si="92">AJ47*(1+AK$7)</f>
        <v>604.46774474223071</v>
      </c>
      <c r="AL47" s="152">
        <f t="shared" ref="AL47" si="93">AK47*(1+AL$7)</f>
        <v>616.55709963707534</v>
      </c>
      <c r="AM47" s="152">
        <f t="shared" ref="AM47" si="94">AL47*(1+AM$7)</f>
        <v>628.88824162981689</v>
      </c>
      <c r="AN47" s="152">
        <f t="shared" ref="AN47" si="95">AM47*(1+AN$7)</f>
        <v>641.46600646241325</v>
      </c>
      <c r="AO47" s="152">
        <f t="shared" ref="AO47" si="96">AN47*(1+AO$7)</f>
        <v>654.29532659166148</v>
      </c>
      <c r="AP47" s="152">
        <f t="shared" ref="AP47" si="97">AO47*(1+AP$7)</f>
        <v>667.38123312349467</v>
      </c>
      <c r="AQ47" s="152">
        <f t="shared" ref="AQ47" si="98">AP47*(1+AQ$7)</f>
        <v>680.72885778596458</v>
      </c>
      <c r="AR47" s="152">
        <f t="shared" ref="AR47" si="99">AQ47*(1+AR$7)</f>
        <v>694.34343494168388</v>
      </c>
      <c r="AS47" s="152">
        <f t="shared" ref="AS47" si="100">AR47*(1+AS$7)</f>
        <v>708.2303036405176</v>
      </c>
      <c r="AT47" s="152">
        <f t="shared" ref="AT47" si="101">AS47*(1+AT$7)</f>
        <v>722.39490971332793</v>
      </c>
      <c r="AU47" s="152">
        <f t="shared" ref="AU47" si="102">AT47*(1+AU$7)</f>
        <v>736.84280790759453</v>
      </c>
      <c r="AV47" s="152">
        <f t="shared" ref="AV47" si="103">AU47*(1+AV$7)</f>
        <v>751.57966406574644</v>
      </c>
      <c r="AW47" s="152">
        <f t="shared" ref="AW47" si="104">AV47*(1+AW$7)</f>
        <v>766.61125734706138</v>
      </c>
    </row>
    <row r="48" spans="1:49" x14ac:dyDescent="0.2">
      <c r="A48" s="119" t="s">
        <v>155</v>
      </c>
      <c r="B48" s="112"/>
      <c r="C48" s="112"/>
      <c r="D48" s="136"/>
      <c r="E48" s="127"/>
      <c r="F48" s="127"/>
      <c r="G48" s="127"/>
      <c r="H48" s="127"/>
      <c r="I48" s="127"/>
      <c r="J48" s="127"/>
      <c r="K48" s="127"/>
      <c r="L48" s="127"/>
      <c r="M48" s="127"/>
      <c r="N48" s="222"/>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row>
    <row r="49" spans="1:49" x14ac:dyDescent="0.2">
      <c r="A49" s="39" t="s">
        <v>180</v>
      </c>
      <c r="B49" s="93"/>
      <c r="C49" s="31"/>
      <c r="D49" s="134" t="s">
        <v>96</v>
      </c>
      <c r="E49" s="56" t="s">
        <v>96</v>
      </c>
      <c r="F49" s="56" t="s">
        <v>96</v>
      </c>
      <c r="G49" s="56" t="s">
        <v>96</v>
      </c>
      <c r="H49" s="56" t="s">
        <v>96</v>
      </c>
      <c r="I49" s="56">
        <v>0</v>
      </c>
      <c r="J49" s="56">
        <v>0</v>
      </c>
      <c r="K49" s="56">
        <v>0</v>
      </c>
      <c r="L49" s="56">
        <v>0</v>
      </c>
      <c r="M49" s="126">
        <v>0</v>
      </c>
      <c r="N49" s="218">
        <v>0</v>
      </c>
      <c r="O49" s="152">
        <v>0</v>
      </c>
      <c r="P49" s="152">
        <v>0</v>
      </c>
      <c r="Q49" s="152">
        <v>0</v>
      </c>
      <c r="R49" s="152">
        <v>0</v>
      </c>
      <c r="S49" s="152">
        <v>0</v>
      </c>
      <c r="T49" s="152">
        <v>0</v>
      </c>
      <c r="U49" s="175">
        <v>0</v>
      </c>
      <c r="V49" s="152">
        <f>U49</f>
        <v>0</v>
      </c>
      <c r="W49" s="152">
        <f>V49</f>
        <v>0</v>
      </c>
      <c r="X49" s="152">
        <f t="shared" ref="X49:AS49" si="105">W49</f>
        <v>0</v>
      </c>
      <c r="Y49" s="181">
        <f>D105</f>
        <v>1766859.2210231249</v>
      </c>
      <c r="Z49" s="152">
        <f t="shared" si="105"/>
        <v>1766859.2210231249</v>
      </c>
      <c r="AA49" s="152">
        <f t="shared" si="105"/>
        <v>1766859.2210231249</v>
      </c>
      <c r="AB49" s="152">
        <f t="shared" si="105"/>
        <v>1766859.2210231249</v>
      </c>
      <c r="AC49" s="152">
        <f t="shared" si="105"/>
        <v>1766859.2210231249</v>
      </c>
      <c r="AD49" s="152">
        <f t="shared" si="105"/>
        <v>1766859.2210231249</v>
      </c>
      <c r="AE49" s="152">
        <f t="shared" si="105"/>
        <v>1766859.2210231249</v>
      </c>
      <c r="AF49" s="152">
        <f t="shared" si="105"/>
        <v>1766859.2210231249</v>
      </c>
      <c r="AG49" s="152">
        <f t="shared" si="105"/>
        <v>1766859.2210231249</v>
      </c>
      <c r="AH49" s="152">
        <f t="shared" si="105"/>
        <v>1766859.2210231249</v>
      </c>
      <c r="AI49" s="152">
        <f t="shared" si="105"/>
        <v>1766859.2210231249</v>
      </c>
      <c r="AJ49" s="152">
        <f t="shared" si="105"/>
        <v>1766859.2210231249</v>
      </c>
      <c r="AK49" s="152">
        <f t="shared" si="105"/>
        <v>1766859.2210231249</v>
      </c>
      <c r="AL49" s="152">
        <f t="shared" si="105"/>
        <v>1766859.2210231249</v>
      </c>
      <c r="AM49" s="152">
        <f t="shared" si="105"/>
        <v>1766859.2210231249</v>
      </c>
      <c r="AN49" s="152">
        <f t="shared" si="105"/>
        <v>1766859.2210231249</v>
      </c>
      <c r="AO49" s="152">
        <f t="shared" si="105"/>
        <v>1766859.2210231249</v>
      </c>
      <c r="AP49" s="152">
        <f t="shared" si="105"/>
        <v>1766859.2210231249</v>
      </c>
      <c r="AQ49" s="152">
        <f t="shared" si="105"/>
        <v>1766859.2210231249</v>
      </c>
      <c r="AR49" s="152">
        <f t="shared" si="105"/>
        <v>1766859.2210231249</v>
      </c>
      <c r="AS49" s="152">
        <f t="shared" si="105"/>
        <v>1766859.2210231249</v>
      </c>
      <c r="AT49" s="152">
        <f t="shared" ref="AT49" si="106">AS49</f>
        <v>1766859.2210231249</v>
      </c>
      <c r="AU49" s="152">
        <f t="shared" ref="AU49" si="107">AT49</f>
        <v>1766859.2210231249</v>
      </c>
      <c r="AV49" s="152">
        <f t="shared" ref="AV49" si="108">AU49</f>
        <v>1766859.2210231249</v>
      </c>
      <c r="AW49" s="152">
        <f t="shared" ref="AW49" si="109">AV49</f>
        <v>1766859.2210231249</v>
      </c>
    </row>
    <row r="50" spans="1:49" x14ac:dyDescent="0.2">
      <c r="A50" s="39" t="s">
        <v>53</v>
      </c>
      <c r="B50" s="93"/>
      <c r="C50" s="31"/>
      <c r="D50" s="134" t="s">
        <v>96</v>
      </c>
      <c r="E50" s="56" t="s">
        <v>96</v>
      </c>
      <c r="F50" s="56" t="s">
        <v>96</v>
      </c>
      <c r="G50" s="56" t="s">
        <v>96</v>
      </c>
      <c r="H50" s="56" t="s">
        <v>96</v>
      </c>
      <c r="I50" s="56" t="s">
        <v>96</v>
      </c>
      <c r="J50" s="56" t="s">
        <v>96</v>
      </c>
      <c r="K50" s="56" t="s">
        <v>96</v>
      </c>
      <c r="L50" s="56" t="s">
        <v>96</v>
      </c>
      <c r="M50" s="126" t="s">
        <v>96</v>
      </c>
      <c r="N50" s="218" t="s">
        <v>96</v>
      </c>
      <c r="O50" s="152" t="s">
        <v>96</v>
      </c>
      <c r="P50" s="152" t="s">
        <v>96</v>
      </c>
      <c r="Q50" s="152" t="s">
        <v>96</v>
      </c>
      <c r="R50" s="152" t="s">
        <v>96</v>
      </c>
      <c r="S50" s="181">
        <f>D91</f>
        <v>91000</v>
      </c>
      <c r="T50" s="152" t="s">
        <v>96</v>
      </c>
      <c r="U50" s="152" t="s">
        <v>96</v>
      </c>
      <c r="V50" s="152" t="s">
        <v>96</v>
      </c>
      <c r="W50" s="152" t="s">
        <v>96</v>
      </c>
      <c r="X50" s="152" t="s">
        <v>96</v>
      </c>
      <c r="Y50" s="152" t="s">
        <v>96</v>
      </c>
      <c r="Z50" s="152" t="s">
        <v>96</v>
      </c>
      <c r="AA50" s="152" t="s">
        <v>96</v>
      </c>
      <c r="AB50" s="152" t="s">
        <v>96</v>
      </c>
      <c r="AC50" s="152" t="s">
        <v>96</v>
      </c>
      <c r="AD50" s="152" t="s">
        <v>96</v>
      </c>
      <c r="AE50" s="152" t="s">
        <v>96</v>
      </c>
      <c r="AF50" s="152" t="s">
        <v>96</v>
      </c>
      <c r="AG50" s="152" t="s">
        <v>96</v>
      </c>
      <c r="AH50" s="152" t="s">
        <v>96</v>
      </c>
      <c r="AI50" s="152" t="s">
        <v>96</v>
      </c>
      <c r="AJ50" s="152" t="s">
        <v>96</v>
      </c>
      <c r="AK50" s="152" t="s">
        <v>96</v>
      </c>
      <c r="AL50" s="152" t="s">
        <v>96</v>
      </c>
      <c r="AM50" s="152" t="s">
        <v>96</v>
      </c>
      <c r="AN50" s="152" t="s">
        <v>96</v>
      </c>
      <c r="AO50" s="152" t="s">
        <v>96</v>
      </c>
      <c r="AP50" s="152" t="s">
        <v>96</v>
      </c>
      <c r="AQ50" s="152" t="s">
        <v>96</v>
      </c>
      <c r="AR50" s="152" t="s">
        <v>96</v>
      </c>
      <c r="AS50" s="152" t="s">
        <v>96</v>
      </c>
      <c r="AT50" s="152" t="s">
        <v>96</v>
      </c>
      <c r="AU50" s="152" t="s">
        <v>96</v>
      </c>
      <c r="AV50" s="152" t="s">
        <v>96</v>
      </c>
      <c r="AW50" s="152" t="s">
        <v>96</v>
      </c>
    </row>
    <row r="51" spans="1:49" x14ac:dyDescent="0.2">
      <c r="A51" s="119" t="s">
        <v>156</v>
      </c>
      <c r="B51" s="112"/>
      <c r="C51" s="112"/>
      <c r="D51" s="136"/>
      <c r="E51" s="127"/>
      <c r="F51" s="127"/>
      <c r="G51" s="127"/>
      <c r="H51" s="127"/>
      <c r="I51" s="127"/>
      <c r="J51" s="127"/>
      <c r="K51" s="127"/>
      <c r="L51" s="127"/>
      <c r="M51" s="127"/>
      <c r="N51" s="222"/>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row>
    <row r="52" spans="1:49" ht="25.5" x14ac:dyDescent="0.2">
      <c r="A52" s="39" t="s">
        <v>203</v>
      </c>
      <c r="B52" s="93"/>
      <c r="C52" s="31"/>
      <c r="D52" s="134" t="s">
        <v>96</v>
      </c>
      <c r="E52" s="56" t="s">
        <v>96</v>
      </c>
      <c r="F52" s="56" t="s">
        <v>96</v>
      </c>
      <c r="G52" s="56" t="s">
        <v>96</v>
      </c>
      <c r="H52" s="56" t="s">
        <v>96</v>
      </c>
      <c r="I52" s="56" t="s">
        <v>96</v>
      </c>
      <c r="J52" s="56" t="s">
        <v>96</v>
      </c>
      <c r="K52" s="56" t="s">
        <v>96</v>
      </c>
      <c r="L52" s="56" t="s">
        <v>96</v>
      </c>
      <c r="M52" s="126" t="s">
        <v>96</v>
      </c>
      <c r="N52" s="218" t="s">
        <v>96</v>
      </c>
      <c r="O52" s="152">
        <v>100000</v>
      </c>
      <c r="P52" s="152">
        <f>O52</f>
        <v>100000</v>
      </c>
      <c r="Q52" s="152">
        <v>175000</v>
      </c>
      <c r="R52" s="152">
        <v>175000</v>
      </c>
      <c r="S52" s="152">
        <v>175000</v>
      </c>
      <c r="T52" s="152">
        <v>175000</v>
      </c>
      <c r="U52" s="152">
        <v>175000</v>
      </c>
      <c r="V52" s="152">
        <v>175000</v>
      </c>
      <c r="W52" s="152">
        <v>175000</v>
      </c>
      <c r="X52" s="152">
        <v>175000</v>
      </c>
      <c r="Y52" s="152">
        <v>175000</v>
      </c>
      <c r="Z52" s="152">
        <v>175000</v>
      </c>
      <c r="AA52" s="152">
        <v>175000</v>
      </c>
      <c r="AB52" s="152">
        <v>175000</v>
      </c>
      <c r="AC52" s="152">
        <v>175000</v>
      </c>
      <c r="AD52" s="152">
        <v>175000</v>
      </c>
      <c r="AE52" s="152">
        <v>175000</v>
      </c>
      <c r="AF52" s="152">
        <v>175000</v>
      </c>
      <c r="AG52" s="152">
        <v>175000</v>
      </c>
      <c r="AH52" s="152">
        <v>175000</v>
      </c>
      <c r="AI52" s="152">
        <v>175000</v>
      </c>
      <c r="AJ52" s="152">
        <v>175000</v>
      </c>
      <c r="AK52" s="152">
        <v>175000</v>
      </c>
      <c r="AL52" s="152">
        <v>175000</v>
      </c>
      <c r="AM52" s="152">
        <v>175000</v>
      </c>
      <c r="AN52" s="152">
        <v>175000</v>
      </c>
      <c r="AO52" s="152">
        <v>175000</v>
      </c>
      <c r="AP52" s="152">
        <v>175000</v>
      </c>
      <c r="AQ52" s="152">
        <v>175000</v>
      </c>
      <c r="AR52" s="152">
        <v>175000</v>
      </c>
      <c r="AS52" s="152">
        <v>175000</v>
      </c>
      <c r="AT52" s="152">
        <v>175000</v>
      </c>
      <c r="AU52" s="152">
        <v>175000</v>
      </c>
      <c r="AV52" s="152">
        <v>175000</v>
      </c>
      <c r="AW52" s="152">
        <v>175000</v>
      </c>
    </row>
    <row r="53" spans="1:49" ht="13.5" thickBot="1" x14ac:dyDescent="0.25">
      <c r="A53" s="49"/>
      <c r="B53" s="38"/>
      <c r="C53" s="31"/>
      <c r="D53" s="140" t="s">
        <v>96</v>
      </c>
      <c r="E53" s="141" t="s">
        <v>96</v>
      </c>
      <c r="F53" s="141" t="s">
        <v>96</v>
      </c>
      <c r="G53" s="141" t="s">
        <v>96</v>
      </c>
      <c r="H53" s="141" t="s">
        <v>96</v>
      </c>
      <c r="I53" s="141" t="s">
        <v>96</v>
      </c>
      <c r="J53" s="141" t="s">
        <v>96</v>
      </c>
      <c r="K53" s="141" t="s">
        <v>96</v>
      </c>
      <c r="L53" s="141" t="s">
        <v>96</v>
      </c>
      <c r="M53" s="141" t="s">
        <v>96</v>
      </c>
      <c r="N53" s="223" t="s">
        <v>96</v>
      </c>
      <c r="O53" s="153" t="s">
        <v>96</v>
      </c>
      <c r="P53" s="153" t="s">
        <v>96</v>
      </c>
      <c r="Q53" s="153" t="s">
        <v>96</v>
      </c>
      <c r="R53" s="153" t="s">
        <v>96</v>
      </c>
      <c r="S53" s="153" t="s">
        <v>96</v>
      </c>
      <c r="T53" s="153" t="s">
        <v>96</v>
      </c>
      <c r="U53" s="153" t="s">
        <v>96</v>
      </c>
      <c r="V53" s="153" t="s">
        <v>96</v>
      </c>
      <c r="W53" s="153" t="s">
        <v>96</v>
      </c>
      <c r="X53" s="153" t="s">
        <v>96</v>
      </c>
      <c r="Y53" s="153" t="s">
        <v>96</v>
      </c>
      <c r="Z53" s="153" t="s">
        <v>96</v>
      </c>
      <c r="AA53" s="153" t="s">
        <v>96</v>
      </c>
      <c r="AB53" s="153" t="s">
        <v>96</v>
      </c>
      <c r="AC53" s="153" t="s">
        <v>96</v>
      </c>
      <c r="AD53" s="153" t="s">
        <v>96</v>
      </c>
      <c r="AE53" s="153" t="s">
        <v>96</v>
      </c>
      <c r="AF53" s="153" t="s">
        <v>96</v>
      </c>
      <c r="AG53" s="153" t="s">
        <v>96</v>
      </c>
      <c r="AH53" s="153" t="s">
        <v>96</v>
      </c>
      <c r="AI53" s="153" t="s">
        <v>96</v>
      </c>
      <c r="AJ53" s="153" t="s">
        <v>96</v>
      </c>
      <c r="AK53" s="153" t="s">
        <v>96</v>
      </c>
      <c r="AL53" s="153" t="s">
        <v>96</v>
      </c>
      <c r="AM53" s="153" t="s">
        <v>96</v>
      </c>
      <c r="AN53" s="153" t="s">
        <v>96</v>
      </c>
      <c r="AO53" s="153" t="s">
        <v>96</v>
      </c>
      <c r="AP53" s="153" t="s">
        <v>96</v>
      </c>
      <c r="AQ53" s="153" t="s">
        <v>96</v>
      </c>
      <c r="AR53" s="153" t="s">
        <v>96</v>
      </c>
      <c r="AS53" s="153" t="s">
        <v>96</v>
      </c>
      <c r="AT53" s="153" t="s">
        <v>96</v>
      </c>
      <c r="AU53" s="153" t="s">
        <v>96</v>
      </c>
      <c r="AV53" s="153" t="s">
        <v>96</v>
      </c>
      <c r="AW53" s="153" t="s">
        <v>96</v>
      </c>
    </row>
    <row r="54" spans="1:49" x14ac:dyDescent="0.2">
      <c r="A54" s="21" t="s">
        <v>60</v>
      </c>
      <c r="B54" s="94"/>
      <c r="C54" s="91">
        <f t="shared" ref="C54:M54" si="110">SUM(C29:C53)</f>
        <v>3121589</v>
      </c>
      <c r="D54" s="129">
        <f t="shared" si="110"/>
        <v>2743605</v>
      </c>
      <c r="E54" s="129">
        <f t="shared" si="110"/>
        <v>2753484</v>
      </c>
      <c r="F54" s="129">
        <f t="shared" si="110"/>
        <v>2681778</v>
      </c>
      <c r="G54" s="129">
        <f t="shared" si="110"/>
        <v>2844502</v>
      </c>
      <c r="H54" s="129">
        <f t="shared" si="110"/>
        <v>2761625</v>
      </c>
      <c r="I54" s="129">
        <f t="shared" si="110"/>
        <v>2657193</v>
      </c>
      <c r="J54" s="129">
        <f t="shared" si="110"/>
        <v>2646254</v>
      </c>
      <c r="K54" s="129">
        <f t="shared" si="110"/>
        <v>2526750</v>
      </c>
      <c r="L54" s="129">
        <f t="shared" si="110"/>
        <v>2735486</v>
      </c>
      <c r="M54" s="129">
        <f t="shared" si="110"/>
        <v>2591820</v>
      </c>
      <c r="N54" s="159">
        <f>SUM(N29:N53)</f>
        <v>2391439.06</v>
      </c>
      <c r="O54" s="155">
        <f t="shared" ref="O54:Q54" si="111">SUM(O29:O53)</f>
        <v>2509601.6269999999</v>
      </c>
      <c r="P54" s="155">
        <f t="shared" si="111"/>
        <v>2545224.0515399999</v>
      </c>
      <c r="Q54" s="155">
        <f t="shared" si="111"/>
        <v>2855236.8856347599</v>
      </c>
      <c r="R54" s="155">
        <f t="shared" ref="R54" si="112">SUM(R29:R53)</f>
        <v>2896262.2233474553</v>
      </c>
      <c r="S54" s="155">
        <f t="shared" ref="S54" si="113">SUM(S29:S53)</f>
        <v>3029108.0678144046</v>
      </c>
      <c r="T54" s="155">
        <f t="shared" ref="T54" si="114">SUM(T29:T53)</f>
        <v>2980790.8291706922</v>
      </c>
      <c r="U54" s="155">
        <f t="shared" ref="U54" si="115">SUM(U29:U53)</f>
        <v>2550836.2457541064</v>
      </c>
      <c r="V54" s="155">
        <f t="shared" ref="V54" si="116">SUM(V29:V53)</f>
        <v>2595243.3906691885</v>
      </c>
      <c r="W54" s="155">
        <f t="shared" ref="W54" si="117">SUM(W29:W53)</f>
        <v>2640538.6784825725</v>
      </c>
      <c r="X54" s="155">
        <f t="shared" ref="X54" si="118">SUM(X29:X53)</f>
        <v>2686739.8720522244</v>
      </c>
      <c r="Y54" s="155">
        <f t="shared" ref="Y54" si="119">SUM(Y29:Y53)</f>
        <v>4500724.3105163937</v>
      </c>
      <c r="Z54" s="155">
        <f t="shared" ref="Z54" si="120">SUM(Z29:Z53)</f>
        <v>4548792.0323062586</v>
      </c>
      <c r="AA54" s="155">
        <f t="shared" ref="AA54" si="121">SUM(AA29:AA53)</f>
        <v>4597821.1085319221</v>
      </c>
      <c r="AB54" s="155">
        <f t="shared" ref="AB54" si="122">SUM(AB29:AB53)</f>
        <v>4647830.7662820974</v>
      </c>
      <c r="AC54" s="155">
        <f t="shared" ref="AC54" si="123">SUM(AC29:AC53)</f>
        <v>4698840.6171872765</v>
      </c>
      <c r="AD54" s="155">
        <f t="shared" ref="AD54" si="124">SUM(AD29:AD53)</f>
        <v>4750870.6651105601</v>
      </c>
      <c r="AE54" s="155">
        <f t="shared" ref="AE54" si="125">SUM(AE29:AE53)</f>
        <v>4803941.3139923085</v>
      </c>
      <c r="AF54" s="155">
        <f t="shared" ref="AF54" si="126">SUM(AF29:AF53)</f>
        <v>4858073.3758516926</v>
      </c>
      <c r="AG54" s="155">
        <f t="shared" ref="AG54" si="127">SUM(AG29:AG53)</f>
        <v>4913288.078948264</v>
      </c>
      <c r="AH54" s="155">
        <f t="shared" ref="AH54" si="128">SUM(AH29:AH53)</f>
        <v>4969607.0761067672</v>
      </c>
      <c r="AI54" s="155">
        <f t="shared" ref="AI54" si="129">SUM(AI29:AI53)</f>
        <v>5027052.45320844</v>
      </c>
      <c r="AJ54" s="155">
        <f t="shared" ref="AJ54" si="130">SUM(AJ29:AJ53)</f>
        <v>5085646.7378521459</v>
      </c>
      <c r="AK54" s="155">
        <f t="shared" ref="AK54" si="131">SUM(AK29:AK53)</f>
        <v>5145412.9081887268</v>
      </c>
      <c r="AL54" s="155">
        <f t="shared" ref="AL54" si="132">SUM(AL29:AL53)</f>
        <v>5206374.4019320393</v>
      </c>
      <c r="AM54" s="155">
        <f t="shared" ref="AM54" si="133">SUM(AM29:AM53)</f>
        <v>5268555.125550217</v>
      </c>
      <c r="AN54" s="155">
        <f t="shared" ref="AN54" si="134">SUM(AN29:AN53)</f>
        <v>5331979.4636407597</v>
      </c>
      <c r="AO54" s="155">
        <f t="shared" ref="AO54" si="135">SUM(AO29:AO53)</f>
        <v>5396672.2884931117</v>
      </c>
      <c r="AP54" s="155">
        <f t="shared" ref="AP54" si="136">SUM(AP29:AP53)</f>
        <v>5462658.9698425122</v>
      </c>
      <c r="AQ54" s="155">
        <f t="shared" ref="AQ54" si="137">SUM(AQ29:AQ53)</f>
        <v>5529965.3848188994</v>
      </c>
      <c r="AR54" s="155">
        <f t="shared" ref="AR54" si="138">SUM(AR29:AR53)</f>
        <v>5598617.9280948155</v>
      </c>
      <c r="AS54" s="155">
        <f t="shared" ref="AS54" si="139">SUM(AS29:AS53)</f>
        <v>5668643.5222362494</v>
      </c>
      <c r="AT54" s="155">
        <f t="shared" ref="AT54" si="140">SUM(AT29:AT53)</f>
        <v>5740069.6282605119</v>
      </c>
      <c r="AU54" s="155">
        <f t="shared" ref="AU54" si="141">SUM(AU29:AU53)</f>
        <v>5812924.2564052595</v>
      </c>
      <c r="AV54" s="155">
        <f t="shared" ref="AV54" si="142">SUM(AV29:AV53)</f>
        <v>5887235.9771129023</v>
      </c>
      <c r="AW54" s="155">
        <f t="shared" ref="AW54" si="143">SUM(AW29:AW53)</f>
        <v>5963033.932234698</v>
      </c>
    </row>
    <row r="55" spans="1:49" x14ac:dyDescent="0.2">
      <c r="A55" s="11"/>
      <c r="B55" s="105"/>
      <c r="C55" s="31"/>
      <c r="D55" s="27"/>
      <c r="N55" s="221"/>
      <c r="O55" s="158"/>
    </row>
    <row r="56" spans="1:49" ht="13.5" thickBot="1" x14ac:dyDescent="0.25">
      <c r="A56" s="113" t="s">
        <v>87</v>
      </c>
      <c r="B56" s="114"/>
      <c r="C56" s="122"/>
      <c r="D56" s="122"/>
      <c r="E56" s="123"/>
      <c r="F56" s="123"/>
      <c r="G56" s="123"/>
      <c r="H56" s="123"/>
      <c r="I56" s="123"/>
      <c r="J56" s="123"/>
      <c r="K56" s="123"/>
      <c r="L56" s="123"/>
      <c r="M56" s="123"/>
      <c r="N56" s="224"/>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row>
    <row r="57" spans="1:49" ht="13.5" thickBot="1" x14ac:dyDescent="0.25">
      <c r="A57" s="39" t="s">
        <v>167</v>
      </c>
      <c r="B57" s="32" t="s">
        <v>142</v>
      </c>
      <c r="C57" s="31">
        <v>687253.87</v>
      </c>
      <c r="D57" s="185">
        <f>C60</f>
        <v>183914.87000000011</v>
      </c>
      <c r="E57" s="185">
        <f>D60</f>
        <v>240867.87000000011</v>
      </c>
      <c r="F57" s="185">
        <f t="shared" ref="F57:H57" si="144">E60</f>
        <v>169613.87000000011</v>
      </c>
      <c r="G57" s="185">
        <f t="shared" si="144"/>
        <v>239234.87000000011</v>
      </c>
      <c r="H57" s="185">
        <f t="shared" si="144"/>
        <v>112528.87000000011</v>
      </c>
      <c r="I57" s="130">
        <v>508460.37</v>
      </c>
      <c r="J57" s="131">
        <v>469886.1</v>
      </c>
      <c r="K57" s="131">
        <v>429226.88</v>
      </c>
      <c r="L57" s="132">
        <v>529143.37</v>
      </c>
      <c r="M57" s="131">
        <v>368653.28</v>
      </c>
      <c r="N57" s="217">
        <f>M60</f>
        <v>226493.4599999995</v>
      </c>
      <c r="O57" s="152">
        <f t="shared" ref="O57:AW57" si="145">N60</f>
        <v>541715.89999999898</v>
      </c>
      <c r="P57" s="152">
        <f t="shared" si="145"/>
        <v>792699.1363333324</v>
      </c>
      <c r="Q57" s="152">
        <f t="shared" si="145"/>
        <v>964899.27612666599</v>
      </c>
      <c r="R57" s="152">
        <f t="shared" si="145"/>
        <v>1079709.0009585731</v>
      </c>
      <c r="S57" s="152">
        <f t="shared" si="145"/>
        <v>1431378.0491244514</v>
      </c>
      <c r="T57" s="152">
        <f t="shared" si="145"/>
        <v>1803037.8163990476</v>
      </c>
      <c r="U57" s="152">
        <f t="shared" si="145"/>
        <v>2383493.214071807</v>
      </c>
      <c r="V57" s="152">
        <f t="shared" si="145"/>
        <v>3461304.1196980211</v>
      </c>
      <c r="W57" s="152">
        <f t="shared" si="145"/>
        <v>4563456.8234367585</v>
      </c>
      <c r="X57" s="152">
        <f t="shared" si="145"/>
        <v>5690438.1612502709</v>
      </c>
      <c r="Y57" s="152">
        <f t="shared" si="145"/>
        <v>6842744.7058200538</v>
      </c>
      <c r="Z57" s="152">
        <f t="shared" si="145"/>
        <v>6254023.740258106</v>
      </c>
      <c r="AA57" s="152">
        <f t="shared" si="145"/>
        <v>5691651.1198053835</v>
      </c>
      <c r="AB57" s="152">
        <f t="shared" si="145"/>
        <v>5156153.8113640677</v>
      </c>
      <c r="AC57" s="152">
        <f t="shared" si="145"/>
        <v>4648069.3211743897</v>
      </c>
      <c r="AD57" s="152">
        <f t="shared" si="145"/>
        <v>4167945.9056013804</v>
      </c>
      <c r="AE57" s="152">
        <f t="shared" si="145"/>
        <v>3716342.7861373723</v>
      </c>
      <c r="AF57" s="152">
        <f t="shared" si="145"/>
        <v>3293830.3687045472</v>
      </c>
      <c r="AG57" s="152">
        <f t="shared" si="145"/>
        <v>2900990.4673435278</v>
      </c>
      <c r="AH57" s="152">
        <f t="shared" si="145"/>
        <v>2538416.5323757511</v>
      </c>
      <c r="AI57" s="152">
        <f t="shared" si="145"/>
        <v>2206713.8831290808</v>
      </c>
      <c r="AJ57" s="152">
        <f t="shared" si="145"/>
        <v>1906499.9453179399</v>
      </c>
      <c r="AK57" s="152">
        <f t="shared" si="145"/>
        <v>1638404.493171039</v>
      </c>
      <c r="AL57" s="152">
        <f t="shared" si="145"/>
        <v>1403069.8964016624</v>
      </c>
      <c r="AM57" s="152">
        <f t="shared" si="145"/>
        <v>1201151.3721173601</v>
      </c>
      <c r="AN57" s="152">
        <f t="shared" si="145"/>
        <v>1033317.2417678349</v>
      </c>
      <c r="AO57" s="152">
        <f t="shared" si="145"/>
        <v>900249.19323178101</v>
      </c>
      <c r="AP57" s="152">
        <f t="shared" si="145"/>
        <v>802642.54814546928</v>
      </c>
      <c r="AQ57" s="152">
        <f t="shared" si="145"/>
        <v>741206.53457789309</v>
      </c>
      <c r="AR57" s="152">
        <f t="shared" si="145"/>
        <v>716664.56515942886</v>
      </c>
      <c r="AS57" s="152">
        <f t="shared" si="145"/>
        <v>729754.52077305783</v>
      </c>
      <c r="AT57" s="152">
        <f t="shared" si="145"/>
        <v>781229.03991942201</v>
      </c>
      <c r="AU57" s="152">
        <f t="shared" si="145"/>
        <v>871855.81386917643</v>
      </c>
      <c r="AV57" s="152">
        <f t="shared" si="145"/>
        <v>1002417.8877183888</v>
      </c>
      <c r="AW57" s="152">
        <f t="shared" si="145"/>
        <v>1173713.9674650477</v>
      </c>
    </row>
    <row r="58" spans="1:49" x14ac:dyDescent="0.2">
      <c r="A58" s="39" t="s">
        <v>168</v>
      </c>
      <c r="B58" s="32" t="s">
        <v>143</v>
      </c>
      <c r="C58" s="31">
        <f t="shared" ref="C58:H58" si="146">C25</f>
        <v>2618250</v>
      </c>
      <c r="D58" s="130">
        <f t="shared" si="146"/>
        <v>2800558</v>
      </c>
      <c r="E58" s="131">
        <f t="shared" si="146"/>
        <v>2682230</v>
      </c>
      <c r="F58" s="131">
        <f t="shared" si="146"/>
        <v>2751399</v>
      </c>
      <c r="G58" s="131">
        <f t="shared" si="146"/>
        <v>2717796</v>
      </c>
      <c r="H58" s="143">
        <f t="shared" si="146"/>
        <v>2613866</v>
      </c>
      <c r="I58" s="134">
        <v>2627345.67</v>
      </c>
      <c r="J58" s="56">
        <v>2605596.08</v>
      </c>
      <c r="K58" s="56">
        <v>2617561.88</v>
      </c>
      <c r="L58" s="126">
        <v>2574997.4</v>
      </c>
      <c r="M58" s="56">
        <v>2449660.61</v>
      </c>
      <c r="N58" s="217">
        <f>N25</f>
        <v>2706661.4999999995</v>
      </c>
      <c r="O58" s="152">
        <f t="shared" ref="O58:AW58" si="147">O25</f>
        <v>2760584.8633333333</v>
      </c>
      <c r="P58" s="152">
        <f t="shared" si="147"/>
        <v>2717424.1913333335</v>
      </c>
      <c r="Q58" s="152">
        <f t="shared" si="147"/>
        <v>2970046.610466667</v>
      </c>
      <c r="R58" s="152">
        <f t="shared" si="147"/>
        <v>3247931.271513334</v>
      </c>
      <c r="S58" s="152">
        <f t="shared" si="147"/>
        <v>3400767.8350890009</v>
      </c>
      <c r="T58" s="152">
        <f t="shared" si="147"/>
        <v>3561246.2268434511</v>
      </c>
      <c r="U58" s="152">
        <f t="shared" si="147"/>
        <v>3628647.1513803201</v>
      </c>
      <c r="V58" s="152">
        <f t="shared" si="147"/>
        <v>3697396.0944079263</v>
      </c>
      <c r="W58" s="152">
        <f t="shared" si="147"/>
        <v>3767520.016296085</v>
      </c>
      <c r="X58" s="152">
        <f t="shared" si="147"/>
        <v>3839046.4166220068</v>
      </c>
      <c r="Y58" s="152">
        <f t="shared" si="147"/>
        <v>3912003.3449544469</v>
      </c>
      <c r="Z58" s="152">
        <f t="shared" si="147"/>
        <v>3986419.411853536</v>
      </c>
      <c r="AA58" s="152">
        <f t="shared" si="147"/>
        <v>4062323.8000906068</v>
      </c>
      <c r="AB58" s="152">
        <f t="shared" si="147"/>
        <v>4139746.2760924189</v>
      </c>
      <c r="AC58" s="152">
        <f t="shared" si="147"/>
        <v>4218717.2016142672</v>
      </c>
      <c r="AD58" s="152">
        <f t="shared" si="147"/>
        <v>4299267.545646552</v>
      </c>
      <c r="AE58" s="152">
        <f t="shared" si="147"/>
        <v>4381428.8965594834</v>
      </c>
      <c r="AF58" s="152">
        <f t="shared" si="147"/>
        <v>4465233.4744906733</v>
      </c>
      <c r="AG58" s="152">
        <f t="shared" si="147"/>
        <v>4550714.1439804872</v>
      </c>
      <c r="AH58" s="152">
        <f t="shared" si="147"/>
        <v>4637904.4268600969</v>
      </c>
      <c r="AI58" s="152">
        <f t="shared" si="147"/>
        <v>4726838.5153972991</v>
      </c>
      <c r="AJ58" s="152">
        <f t="shared" si="147"/>
        <v>4817551.2857052451</v>
      </c>
      <c r="AK58" s="152">
        <f t="shared" si="147"/>
        <v>4910078.3114193501</v>
      </c>
      <c r="AL58" s="152">
        <f t="shared" si="147"/>
        <v>5004455.877647737</v>
      </c>
      <c r="AM58" s="152">
        <f t="shared" si="147"/>
        <v>5100720.9952006917</v>
      </c>
      <c r="AN58" s="152">
        <f t="shared" si="147"/>
        <v>5198911.4151047058</v>
      </c>
      <c r="AO58" s="152">
        <f t="shared" si="147"/>
        <v>5299065.6434068</v>
      </c>
      <c r="AP58" s="152">
        <f t="shared" si="147"/>
        <v>5401222.956274936</v>
      </c>
      <c r="AQ58" s="152">
        <f t="shared" si="147"/>
        <v>5505423.4154004352</v>
      </c>
      <c r="AR58" s="152">
        <f t="shared" si="147"/>
        <v>5611707.8837084444</v>
      </c>
      <c r="AS58" s="152">
        <f t="shared" si="147"/>
        <v>5720118.0413826136</v>
      </c>
      <c r="AT58" s="152">
        <f t="shared" si="147"/>
        <v>5830696.4022102663</v>
      </c>
      <c r="AU58" s="152">
        <f t="shared" si="147"/>
        <v>5943486.3302544719</v>
      </c>
      <c r="AV58" s="152">
        <f t="shared" si="147"/>
        <v>6058532.0568595612</v>
      </c>
      <c r="AW58" s="152">
        <f t="shared" si="147"/>
        <v>6175878.6979967523</v>
      </c>
    </row>
    <row r="59" spans="1:49" ht="13.5" thickBot="1" x14ac:dyDescent="0.25">
      <c r="A59" s="39" t="s">
        <v>169</v>
      </c>
      <c r="B59" s="32" t="s">
        <v>144</v>
      </c>
      <c r="C59" s="31">
        <f t="shared" ref="C59:H59" si="148">C54</f>
        <v>3121589</v>
      </c>
      <c r="D59" s="140">
        <f t="shared" si="148"/>
        <v>2743605</v>
      </c>
      <c r="E59" s="145">
        <f t="shared" si="148"/>
        <v>2753484</v>
      </c>
      <c r="F59" s="145">
        <f t="shared" si="148"/>
        <v>2681778</v>
      </c>
      <c r="G59" s="145">
        <f t="shared" si="148"/>
        <v>2844502</v>
      </c>
      <c r="H59" s="147">
        <f t="shared" si="148"/>
        <v>2761625</v>
      </c>
      <c r="I59" s="140">
        <v>2665919.94</v>
      </c>
      <c r="J59" s="145">
        <v>2646255.2999999998</v>
      </c>
      <c r="K59" s="145">
        <v>2517645.39</v>
      </c>
      <c r="L59" s="146">
        <v>2735487.49</v>
      </c>
      <c r="M59" s="145">
        <v>2591820.4300000002</v>
      </c>
      <c r="N59" s="217">
        <f>N54</f>
        <v>2391439.06</v>
      </c>
      <c r="O59" s="152">
        <f t="shared" ref="O59:AW59" si="149">O54</f>
        <v>2509601.6269999999</v>
      </c>
      <c r="P59" s="152">
        <f t="shared" si="149"/>
        <v>2545224.0515399999</v>
      </c>
      <c r="Q59" s="152">
        <f t="shared" si="149"/>
        <v>2855236.8856347599</v>
      </c>
      <c r="R59" s="152">
        <f t="shared" si="149"/>
        <v>2896262.2233474553</v>
      </c>
      <c r="S59" s="152">
        <f t="shared" si="149"/>
        <v>3029108.0678144046</v>
      </c>
      <c r="T59" s="152">
        <f t="shared" si="149"/>
        <v>2980790.8291706922</v>
      </c>
      <c r="U59" s="152">
        <f t="shared" si="149"/>
        <v>2550836.2457541064</v>
      </c>
      <c r="V59" s="152">
        <f t="shared" si="149"/>
        <v>2595243.3906691885</v>
      </c>
      <c r="W59" s="152">
        <f t="shared" si="149"/>
        <v>2640538.6784825725</v>
      </c>
      <c r="X59" s="152">
        <f t="shared" si="149"/>
        <v>2686739.8720522244</v>
      </c>
      <c r="Y59" s="152">
        <f t="shared" si="149"/>
        <v>4500724.3105163937</v>
      </c>
      <c r="Z59" s="152">
        <f t="shared" si="149"/>
        <v>4548792.0323062586</v>
      </c>
      <c r="AA59" s="152">
        <f t="shared" si="149"/>
        <v>4597821.1085319221</v>
      </c>
      <c r="AB59" s="152">
        <f t="shared" si="149"/>
        <v>4647830.7662820974</v>
      </c>
      <c r="AC59" s="152">
        <f t="shared" si="149"/>
        <v>4698840.6171872765</v>
      </c>
      <c r="AD59" s="152">
        <f t="shared" si="149"/>
        <v>4750870.6651105601</v>
      </c>
      <c r="AE59" s="152">
        <f t="shared" si="149"/>
        <v>4803941.3139923085</v>
      </c>
      <c r="AF59" s="152">
        <f t="shared" si="149"/>
        <v>4858073.3758516926</v>
      </c>
      <c r="AG59" s="152">
        <f t="shared" si="149"/>
        <v>4913288.078948264</v>
      </c>
      <c r="AH59" s="152">
        <f t="shared" si="149"/>
        <v>4969607.0761067672</v>
      </c>
      <c r="AI59" s="152">
        <f t="shared" si="149"/>
        <v>5027052.45320844</v>
      </c>
      <c r="AJ59" s="152">
        <f t="shared" si="149"/>
        <v>5085646.7378521459</v>
      </c>
      <c r="AK59" s="152">
        <f t="shared" si="149"/>
        <v>5145412.9081887268</v>
      </c>
      <c r="AL59" s="152">
        <f t="shared" si="149"/>
        <v>5206374.4019320393</v>
      </c>
      <c r="AM59" s="152">
        <f t="shared" si="149"/>
        <v>5268555.125550217</v>
      </c>
      <c r="AN59" s="152">
        <f t="shared" si="149"/>
        <v>5331979.4636407597</v>
      </c>
      <c r="AO59" s="152">
        <f t="shared" si="149"/>
        <v>5396672.2884931117</v>
      </c>
      <c r="AP59" s="152">
        <f t="shared" si="149"/>
        <v>5462658.9698425122</v>
      </c>
      <c r="AQ59" s="152">
        <f t="shared" si="149"/>
        <v>5529965.3848188994</v>
      </c>
      <c r="AR59" s="152">
        <f t="shared" si="149"/>
        <v>5598617.9280948155</v>
      </c>
      <c r="AS59" s="152">
        <f t="shared" si="149"/>
        <v>5668643.5222362494</v>
      </c>
      <c r="AT59" s="152">
        <f t="shared" si="149"/>
        <v>5740069.6282605119</v>
      </c>
      <c r="AU59" s="152">
        <f t="shared" si="149"/>
        <v>5812924.2564052595</v>
      </c>
      <c r="AV59" s="152">
        <f t="shared" si="149"/>
        <v>5887235.9771129023</v>
      </c>
      <c r="AW59" s="152">
        <f t="shared" si="149"/>
        <v>5963033.932234698</v>
      </c>
    </row>
    <row r="60" spans="1:49" ht="13.5" thickBot="1" x14ac:dyDescent="0.25">
      <c r="A60" s="182" t="s">
        <v>170</v>
      </c>
      <c r="B60" s="32" t="s">
        <v>145</v>
      </c>
      <c r="C60" s="31">
        <f t="shared" ref="C60:H60" si="150">C57+C58-C59</f>
        <v>183914.87000000011</v>
      </c>
      <c r="D60" s="31">
        <f t="shared" si="150"/>
        <v>240867.87000000011</v>
      </c>
      <c r="E60" s="31">
        <f t="shared" si="150"/>
        <v>169613.87000000011</v>
      </c>
      <c r="F60" s="31">
        <f t="shared" si="150"/>
        <v>239234.87000000011</v>
      </c>
      <c r="G60" s="31">
        <f t="shared" si="150"/>
        <v>112528.87000000011</v>
      </c>
      <c r="H60" s="31">
        <f t="shared" si="150"/>
        <v>-35230.129999999888</v>
      </c>
      <c r="I60" s="56">
        <f>I57+I58-I59</f>
        <v>469886.10000000009</v>
      </c>
      <c r="J60" s="56">
        <f t="shared" ref="J60:M60" si="151">J57+J58-J59</f>
        <v>429226.88000000035</v>
      </c>
      <c r="K60" s="56">
        <f t="shared" si="151"/>
        <v>529143.36999999965</v>
      </c>
      <c r="L60" s="126">
        <f t="shared" si="151"/>
        <v>368653.2799999998</v>
      </c>
      <c r="M60" s="56">
        <f t="shared" si="151"/>
        <v>226493.4599999995</v>
      </c>
      <c r="N60" s="217">
        <f>N57+N58-N59</f>
        <v>541715.89999999898</v>
      </c>
      <c r="O60" s="152">
        <f t="shared" ref="O60:AW60" si="152">O57+O58-O59</f>
        <v>792699.1363333324</v>
      </c>
      <c r="P60" s="152">
        <f t="shared" si="152"/>
        <v>964899.27612666599</v>
      </c>
      <c r="Q60" s="152">
        <f t="shared" si="152"/>
        <v>1079709.0009585731</v>
      </c>
      <c r="R60" s="152">
        <f t="shared" si="152"/>
        <v>1431378.0491244514</v>
      </c>
      <c r="S60" s="152">
        <f t="shared" si="152"/>
        <v>1803037.8163990476</v>
      </c>
      <c r="T60" s="152">
        <f t="shared" si="152"/>
        <v>2383493.214071807</v>
      </c>
      <c r="U60" s="152">
        <f t="shared" si="152"/>
        <v>3461304.1196980211</v>
      </c>
      <c r="V60" s="152">
        <f t="shared" si="152"/>
        <v>4563456.8234367585</v>
      </c>
      <c r="W60" s="152">
        <f t="shared" si="152"/>
        <v>5690438.1612502709</v>
      </c>
      <c r="X60" s="152">
        <f t="shared" si="152"/>
        <v>6842744.7058200538</v>
      </c>
      <c r="Y60" s="152">
        <f t="shared" si="152"/>
        <v>6254023.740258106</v>
      </c>
      <c r="Z60" s="152">
        <f t="shared" si="152"/>
        <v>5691651.1198053835</v>
      </c>
      <c r="AA60" s="152">
        <f t="shared" si="152"/>
        <v>5156153.8113640677</v>
      </c>
      <c r="AB60" s="152">
        <f t="shared" si="152"/>
        <v>4648069.3211743897</v>
      </c>
      <c r="AC60" s="152">
        <f t="shared" si="152"/>
        <v>4167945.9056013804</v>
      </c>
      <c r="AD60" s="152">
        <f t="shared" si="152"/>
        <v>3716342.7861373723</v>
      </c>
      <c r="AE60" s="152">
        <f t="shared" si="152"/>
        <v>3293830.3687045472</v>
      </c>
      <c r="AF60" s="152">
        <f t="shared" si="152"/>
        <v>2900990.4673435278</v>
      </c>
      <c r="AG60" s="152">
        <f t="shared" si="152"/>
        <v>2538416.5323757511</v>
      </c>
      <c r="AH60" s="152">
        <f t="shared" si="152"/>
        <v>2206713.8831290808</v>
      </c>
      <c r="AI60" s="152">
        <f t="shared" si="152"/>
        <v>1906499.9453179399</v>
      </c>
      <c r="AJ60" s="152">
        <f t="shared" si="152"/>
        <v>1638404.493171039</v>
      </c>
      <c r="AK60" s="152">
        <f t="shared" si="152"/>
        <v>1403069.8964016624</v>
      </c>
      <c r="AL60" s="152">
        <f t="shared" si="152"/>
        <v>1201151.3721173601</v>
      </c>
      <c r="AM60" s="152">
        <f t="shared" si="152"/>
        <v>1033317.2417678349</v>
      </c>
      <c r="AN60" s="152">
        <f t="shared" si="152"/>
        <v>900249.19323178101</v>
      </c>
      <c r="AO60" s="152">
        <f t="shared" si="152"/>
        <v>802642.54814546928</v>
      </c>
      <c r="AP60" s="152">
        <f t="shared" si="152"/>
        <v>741206.53457789309</v>
      </c>
      <c r="AQ60" s="152">
        <f t="shared" si="152"/>
        <v>716664.56515942886</v>
      </c>
      <c r="AR60" s="152">
        <f t="shared" si="152"/>
        <v>729754.52077305783</v>
      </c>
      <c r="AS60" s="152">
        <f t="shared" si="152"/>
        <v>781229.03991942201</v>
      </c>
      <c r="AT60" s="152">
        <f t="shared" si="152"/>
        <v>871855.81386917643</v>
      </c>
      <c r="AU60" s="152">
        <f t="shared" si="152"/>
        <v>1002417.8877183888</v>
      </c>
      <c r="AV60" s="152">
        <f t="shared" si="152"/>
        <v>1173713.9674650477</v>
      </c>
      <c r="AW60" s="152">
        <f t="shared" si="152"/>
        <v>1386558.7332271021</v>
      </c>
    </row>
    <row r="61" spans="1:49" x14ac:dyDescent="0.2">
      <c r="A61" s="39" t="s">
        <v>171</v>
      </c>
      <c r="B61" s="32"/>
      <c r="C61" s="31">
        <v>95040.26</v>
      </c>
      <c r="D61" s="31">
        <v>16474.689999999999</v>
      </c>
      <c r="E61" s="31">
        <v>0</v>
      </c>
      <c r="F61" s="31">
        <v>0</v>
      </c>
      <c r="G61" s="31">
        <v>0</v>
      </c>
      <c r="H61" s="31">
        <v>0</v>
      </c>
      <c r="I61" s="130">
        <v>78159.429999999993</v>
      </c>
      <c r="J61" s="131">
        <v>31609.48</v>
      </c>
      <c r="K61" s="131">
        <v>144997.06</v>
      </c>
      <c r="L61" s="132">
        <v>150825.94</v>
      </c>
      <c r="M61" s="131">
        <v>42770.38</v>
      </c>
      <c r="N61" s="225">
        <v>0</v>
      </c>
      <c r="O61" s="184">
        <v>0</v>
      </c>
      <c r="P61" s="184">
        <v>0</v>
      </c>
      <c r="Q61" s="184">
        <v>0</v>
      </c>
      <c r="R61" s="184">
        <v>0</v>
      </c>
      <c r="S61" s="184">
        <v>0</v>
      </c>
      <c r="T61" s="184">
        <v>0</v>
      </c>
      <c r="U61" s="184">
        <v>0</v>
      </c>
      <c r="V61" s="184">
        <v>0</v>
      </c>
      <c r="W61" s="184">
        <v>0</v>
      </c>
      <c r="X61" s="184">
        <v>0</v>
      </c>
      <c r="Y61" s="184">
        <v>0</v>
      </c>
      <c r="Z61" s="184">
        <v>0</v>
      </c>
      <c r="AA61" s="184">
        <v>0</v>
      </c>
      <c r="AB61" s="184">
        <v>0</v>
      </c>
      <c r="AC61" s="184">
        <v>0</v>
      </c>
      <c r="AD61" s="184">
        <v>0</v>
      </c>
      <c r="AE61" s="184">
        <v>0</v>
      </c>
      <c r="AF61" s="184">
        <v>0</v>
      </c>
      <c r="AG61" s="184">
        <v>0</v>
      </c>
      <c r="AH61" s="184">
        <v>0</v>
      </c>
      <c r="AI61" s="184">
        <v>0</v>
      </c>
      <c r="AJ61" s="184">
        <v>0</v>
      </c>
      <c r="AK61" s="184">
        <v>0</v>
      </c>
      <c r="AL61" s="184">
        <v>0</v>
      </c>
      <c r="AM61" s="184">
        <v>0</v>
      </c>
      <c r="AN61" s="184">
        <v>0</v>
      </c>
      <c r="AO61" s="184">
        <v>0</v>
      </c>
      <c r="AP61" s="184">
        <v>0</v>
      </c>
      <c r="AQ61" s="184">
        <v>0</v>
      </c>
      <c r="AR61" s="184">
        <v>0</v>
      </c>
      <c r="AS61" s="184">
        <v>0</v>
      </c>
      <c r="AT61" s="184">
        <v>0</v>
      </c>
      <c r="AU61" s="184">
        <v>0</v>
      </c>
      <c r="AV61" s="184">
        <v>0</v>
      </c>
      <c r="AW61" s="184">
        <v>0</v>
      </c>
    </row>
    <row r="62" spans="1:49" ht="13.5" thickBot="1" x14ac:dyDescent="0.25">
      <c r="A62" s="39" t="s">
        <v>85</v>
      </c>
      <c r="B62" s="32"/>
      <c r="C62" s="31">
        <f t="shared" ref="C62:H62" si="153">C60-C61</f>
        <v>88874.610000000117</v>
      </c>
      <c r="D62" s="31">
        <f t="shared" si="153"/>
        <v>224393.18000000011</v>
      </c>
      <c r="E62" s="31">
        <f t="shared" si="153"/>
        <v>169613.87000000011</v>
      </c>
      <c r="F62" s="31">
        <f t="shared" si="153"/>
        <v>239234.87000000011</v>
      </c>
      <c r="G62" s="31">
        <f t="shared" si="153"/>
        <v>112528.87000000011</v>
      </c>
      <c r="H62" s="31">
        <f t="shared" si="153"/>
        <v>-35230.129999999888</v>
      </c>
      <c r="I62" s="140">
        <f>I60-I61</f>
        <v>391726.6700000001</v>
      </c>
      <c r="J62" s="145">
        <f t="shared" ref="J62:O62" si="154">J60-J61</f>
        <v>397617.40000000037</v>
      </c>
      <c r="K62" s="145">
        <f t="shared" si="154"/>
        <v>384146.30999999965</v>
      </c>
      <c r="L62" s="145">
        <f t="shared" si="154"/>
        <v>217827.33999999979</v>
      </c>
      <c r="M62" s="145">
        <f t="shared" si="154"/>
        <v>183723.07999999949</v>
      </c>
      <c r="N62" s="217">
        <f t="shared" si="154"/>
        <v>541715.89999999898</v>
      </c>
      <c r="O62" s="56">
        <f t="shared" si="154"/>
        <v>792699.1363333324</v>
      </c>
      <c r="P62" s="194">
        <f t="shared" ref="P62" si="155">P60-P61</f>
        <v>964899.27612666599</v>
      </c>
      <c r="Q62" s="194">
        <f t="shared" ref="Q62" si="156">Q60-Q61</f>
        <v>1079709.0009585731</v>
      </c>
      <c r="R62" s="194">
        <f t="shared" ref="R62:T62" si="157">R60-R61</f>
        <v>1431378.0491244514</v>
      </c>
      <c r="S62" s="194">
        <f t="shared" si="157"/>
        <v>1803037.8163990476</v>
      </c>
      <c r="T62" s="194">
        <f t="shared" si="157"/>
        <v>2383493.214071807</v>
      </c>
      <c r="U62" s="194">
        <f t="shared" ref="U62" si="158">U60-U61</f>
        <v>3461304.1196980211</v>
      </c>
      <c r="V62" s="194">
        <f t="shared" ref="V62" si="159">V60-V61</f>
        <v>4563456.8234367585</v>
      </c>
      <c r="W62" s="194">
        <f t="shared" ref="W62:Y62" si="160">W60-W61</f>
        <v>5690438.1612502709</v>
      </c>
      <c r="X62" s="194">
        <f t="shared" si="160"/>
        <v>6842744.7058200538</v>
      </c>
      <c r="Y62" s="194">
        <f t="shared" si="160"/>
        <v>6254023.740258106</v>
      </c>
      <c r="Z62" s="194">
        <f t="shared" ref="Z62" si="161">Z60-Z61</f>
        <v>5691651.1198053835</v>
      </c>
      <c r="AA62" s="194">
        <f t="shared" ref="AA62" si="162">AA60-AA61</f>
        <v>5156153.8113640677</v>
      </c>
      <c r="AB62" s="194">
        <f t="shared" ref="AB62:AD62" si="163">AB60-AB61</f>
        <v>4648069.3211743897</v>
      </c>
      <c r="AC62" s="194">
        <f t="shared" si="163"/>
        <v>4167945.9056013804</v>
      </c>
      <c r="AD62" s="194">
        <f t="shared" si="163"/>
        <v>3716342.7861373723</v>
      </c>
      <c r="AE62" s="194">
        <f t="shared" ref="AE62" si="164">AE60-AE61</f>
        <v>3293830.3687045472</v>
      </c>
      <c r="AF62" s="194">
        <f t="shared" ref="AF62" si="165">AF60-AF61</f>
        <v>2900990.4673435278</v>
      </c>
      <c r="AG62" s="194">
        <f t="shared" ref="AG62:AI62" si="166">AG60-AG61</f>
        <v>2538416.5323757511</v>
      </c>
      <c r="AH62" s="194">
        <f t="shared" si="166"/>
        <v>2206713.8831290808</v>
      </c>
      <c r="AI62" s="194">
        <f t="shared" si="166"/>
        <v>1906499.9453179399</v>
      </c>
      <c r="AJ62" s="194">
        <f t="shared" ref="AJ62" si="167">AJ60-AJ61</f>
        <v>1638404.493171039</v>
      </c>
      <c r="AK62" s="194">
        <f t="shared" ref="AK62" si="168">AK60-AK61</f>
        <v>1403069.8964016624</v>
      </c>
      <c r="AL62" s="194">
        <f t="shared" ref="AL62:AN62" si="169">AL60-AL61</f>
        <v>1201151.3721173601</v>
      </c>
      <c r="AM62" s="194">
        <f t="shared" si="169"/>
        <v>1033317.2417678349</v>
      </c>
      <c r="AN62" s="194">
        <f t="shared" si="169"/>
        <v>900249.19323178101</v>
      </c>
      <c r="AO62" s="194">
        <f t="shared" ref="AO62" si="170">AO60-AO61</f>
        <v>802642.54814546928</v>
      </c>
      <c r="AP62" s="194">
        <f t="shared" ref="AP62" si="171">AP60-AP61</f>
        <v>741206.53457789309</v>
      </c>
      <c r="AQ62" s="194">
        <f t="shared" ref="AQ62:AS62" si="172">AQ60-AQ61</f>
        <v>716664.56515942886</v>
      </c>
      <c r="AR62" s="194">
        <f t="shared" si="172"/>
        <v>729754.52077305783</v>
      </c>
      <c r="AS62" s="194">
        <f t="shared" si="172"/>
        <v>781229.03991942201</v>
      </c>
      <c r="AT62" s="194">
        <f t="shared" ref="AT62" si="173">AT60-AT61</f>
        <v>871855.81386917643</v>
      </c>
      <c r="AU62" s="194">
        <f t="shared" ref="AU62" si="174">AU60-AU61</f>
        <v>1002417.8877183888</v>
      </c>
      <c r="AV62" s="194">
        <f t="shared" ref="AV62:AW62" si="175">AV60-AV61</f>
        <v>1173713.9674650477</v>
      </c>
      <c r="AW62" s="194">
        <f t="shared" si="175"/>
        <v>1386558.7332271021</v>
      </c>
    </row>
    <row r="63" spans="1:49" ht="15" x14ac:dyDescent="0.25">
      <c r="A63" s="39" t="s">
        <v>181</v>
      </c>
      <c r="B63" s="32"/>
      <c r="C63" s="31"/>
      <c r="D63" s="31"/>
      <c r="E63" s="31"/>
      <c r="F63" s="31"/>
      <c r="G63" s="31"/>
      <c r="H63" s="31"/>
      <c r="I63" s="56"/>
      <c r="J63" s="56"/>
      <c r="K63" s="56"/>
      <c r="L63" s="126"/>
      <c r="M63" s="56"/>
      <c r="N63" s="38"/>
      <c r="O63" s="38"/>
      <c r="P63" s="193">
        <f t="shared" ref="P63" si="176">P62-O62</f>
        <v>172200.1397933336</v>
      </c>
      <c r="Q63" s="193">
        <f t="shared" ref="Q63" si="177">Q62-P62</f>
        <v>114809.72483190708</v>
      </c>
      <c r="R63" s="193">
        <f t="shared" ref="R63" si="178">R62-Q62</f>
        <v>351669.04816587828</v>
      </c>
      <c r="S63" s="193">
        <f t="shared" ref="S63" si="179">S62-R62</f>
        <v>371659.76727459626</v>
      </c>
      <c r="T63" s="193">
        <f t="shared" ref="T63" si="180">T62-S62</f>
        <v>580455.39767275937</v>
      </c>
      <c r="U63" s="193">
        <f t="shared" ref="U63" si="181">U62-T62</f>
        <v>1077810.9056262141</v>
      </c>
      <c r="V63" s="193">
        <f t="shared" ref="V63" si="182">V62-U62</f>
        <v>1102152.7037387374</v>
      </c>
      <c r="W63" s="193">
        <f t="shared" ref="W63:AE63" si="183">W62-V62</f>
        <v>1126981.3378135124</v>
      </c>
      <c r="X63" s="193">
        <f t="shared" si="183"/>
        <v>1152306.5445697829</v>
      </c>
      <c r="Y63" s="193">
        <f>Y62-X62</f>
        <v>-588720.96556194779</v>
      </c>
      <c r="Z63" s="193">
        <f t="shared" si="183"/>
        <v>-562372.62045272253</v>
      </c>
      <c r="AA63" s="193">
        <f t="shared" si="183"/>
        <v>-535497.30844131578</v>
      </c>
      <c r="AB63" s="193">
        <f t="shared" si="183"/>
        <v>-508084.49018967804</v>
      </c>
      <c r="AC63" s="193">
        <f t="shared" si="183"/>
        <v>-480123.41557300929</v>
      </c>
      <c r="AD63" s="193">
        <f t="shared" si="183"/>
        <v>-451603.11946400814</v>
      </c>
      <c r="AE63" s="193">
        <f t="shared" si="183"/>
        <v>-422512.41743282508</v>
      </c>
      <c r="AF63" s="193">
        <f t="shared" ref="AF63" si="184">AF62-AE62</f>
        <v>-392839.90136101935</v>
      </c>
      <c r="AG63" s="193">
        <f t="shared" ref="AG63:AH63" si="185">AG62-AF62</f>
        <v>-362573.93496777676</v>
      </c>
      <c r="AH63" s="193">
        <f t="shared" si="185"/>
        <v>-331702.64924667031</v>
      </c>
      <c r="AI63" s="193">
        <f t="shared" ref="AI63" si="186">AI62-AH62</f>
        <v>-300213.9378111409</v>
      </c>
      <c r="AJ63" s="193">
        <f t="shared" ref="AJ63" si="187">AJ62-AI62</f>
        <v>-268095.45214690082</v>
      </c>
      <c r="AK63" s="193">
        <f t="shared" ref="AK63" si="188">AK62-AJ62</f>
        <v>-235334.59676937666</v>
      </c>
      <c r="AL63" s="193">
        <f t="shared" ref="AL63" si="189">AL62-AK62</f>
        <v>-201918.52428430226</v>
      </c>
      <c r="AM63" s="193">
        <f t="shared" ref="AM63" si="190">AM62-AL62</f>
        <v>-167834.13034952525</v>
      </c>
      <c r="AN63" s="193">
        <f t="shared" ref="AN63" si="191">AN62-AM62</f>
        <v>-133068.04853605386</v>
      </c>
      <c r="AO63" s="193">
        <f t="shared" ref="AO63" si="192">AO62-AN62</f>
        <v>-97606.645086311735</v>
      </c>
      <c r="AP63" s="193">
        <f t="shared" ref="AP63:AQ63" si="193">AP62-AO62</f>
        <v>-61436.013567576185</v>
      </c>
      <c r="AQ63" s="193">
        <f t="shared" si="193"/>
        <v>-24541.969418464229</v>
      </c>
      <c r="AR63" s="193">
        <f t="shared" ref="AR63" si="194">AR62-AQ62</f>
        <v>13089.955613628961</v>
      </c>
      <c r="AS63" s="193">
        <f t="shared" ref="AS63" si="195">AS62-AR62</f>
        <v>51474.519146364182</v>
      </c>
      <c r="AT63" s="193">
        <f t="shared" ref="AT63" si="196">AT62-AS62</f>
        <v>90626.773949754424</v>
      </c>
      <c r="AU63" s="193">
        <f t="shared" ref="AU63" si="197">AU62-AT62</f>
        <v>130562.07384921238</v>
      </c>
      <c r="AV63" s="193">
        <f t="shared" ref="AV63" si="198">AV62-AU62</f>
        <v>171296.07974665891</v>
      </c>
      <c r="AW63" s="193">
        <f t="shared" ref="AW63" si="199">AW62-AV62</f>
        <v>212844.76576205436</v>
      </c>
    </row>
    <row r="64" spans="1:49" x14ac:dyDescent="0.2">
      <c r="A64" s="32"/>
      <c r="B64" s="32"/>
      <c r="C64" s="31"/>
      <c r="D64" s="31"/>
      <c r="E64" s="31"/>
      <c r="F64" s="31"/>
      <c r="G64" s="31"/>
      <c r="H64" s="31"/>
      <c r="I64" s="56"/>
      <c r="J64" s="56"/>
      <c r="K64" s="56"/>
      <c r="L64" s="126"/>
      <c r="M64" s="56"/>
    </row>
    <row r="65" spans="1:49" x14ac:dyDescent="0.2">
      <c r="A65" s="113" t="s">
        <v>159</v>
      </c>
      <c r="B65" s="114"/>
      <c r="C65" s="115"/>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row>
    <row r="66" spans="1:49" x14ac:dyDescent="0.2">
      <c r="A66" s="93" t="s">
        <v>165</v>
      </c>
      <c r="B66" s="32"/>
      <c r="C66" s="31"/>
      <c r="D66" s="31"/>
      <c r="E66" s="31"/>
      <c r="F66" s="31"/>
      <c r="G66" s="31"/>
      <c r="H66" s="31"/>
      <c r="I66" s="176"/>
      <c r="J66" s="176"/>
      <c r="K66" s="176"/>
      <c r="L66" s="176"/>
      <c r="M66" s="176"/>
      <c r="N66" s="176"/>
      <c r="O66" s="176">
        <f t="shared" ref="O66:AW66" si="200">(O54-O39-O49)/3</f>
        <v>678703.54233333329</v>
      </c>
      <c r="P66" s="176">
        <f t="shared" si="200"/>
        <v>690577.68384666659</v>
      </c>
      <c r="Q66" s="176">
        <f t="shared" si="200"/>
        <v>793915.29521158664</v>
      </c>
      <c r="R66" s="176">
        <f t="shared" si="200"/>
        <v>807590.40778248513</v>
      </c>
      <c r="S66" s="176">
        <f t="shared" si="200"/>
        <v>851872.35593813483</v>
      </c>
      <c r="T66" s="176">
        <f t="shared" si="200"/>
        <v>835766.60972356412</v>
      </c>
      <c r="U66" s="176">
        <f>(U54-U39-U49)/3</f>
        <v>850278.74858470215</v>
      </c>
      <c r="V66" s="176">
        <f>(V54-V39-V49)/3</f>
        <v>865081.13022306282</v>
      </c>
      <c r="W66" s="176">
        <f t="shared" si="200"/>
        <v>880179.55949419085</v>
      </c>
      <c r="X66" s="176">
        <f t="shared" si="200"/>
        <v>895579.95735074149</v>
      </c>
      <c r="Y66" s="176">
        <f t="shared" si="200"/>
        <v>911288.36316442303</v>
      </c>
      <c r="Z66" s="176">
        <f t="shared" si="200"/>
        <v>927310.93709437794</v>
      </c>
      <c r="AA66" s="176">
        <f t="shared" si="200"/>
        <v>943653.96250293253</v>
      </c>
      <c r="AB66" s="176">
        <f t="shared" si="200"/>
        <v>960323.84841965756</v>
      </c>
      <c r="AC66" s="176">
        <f t="shared" si="200"/>
        <v>977327.13205471728</v>
      </c>
      <c r="AD66" s="176">
        <f t="shared" si="200"/>
        <v>994670.48136247846</v>
      </c>
      <c r="AE66" s="176">
        <f t="shared" si="200"/>
        <v>1012360.6976563946</v>
      </c>
      <c r="AF66" s="176">
        <f t="shared" si="200"/>
        <v>1030404.7182761893</v>
      </c>
      <c r="AG66" s="176">
        <f t="shared" si="200"/>
        <v>1048809.6193083797</v>
      </c>
      <c r="AH66" s="176">
        <f t="shared" si="200"/>
        <v>1067582.6183612142</v>
      </c>
      <c r="AI66" s="176">
        <f t="shared" si="200"/>
        <v>1086731.077395105</v>
      </c>
      <c r="AJ66" s="176">
        <f t="shared" si="200"/>
        <v>1106262.5056096737</v>
      </c>
      <c r="AK66" s="176">
        <f t="shared" si="200"/>
        <v>1126184.562388534</v>
      </c>
      <c r="AL66" s="176">
        <f t="shared" si="200"/>
        <v>1146505.0603029716</v>
      </c>
      <c r="AM66" s="176">
        <f t="shared" si="200"/>
        <v>1167231.9681756974</v>
      </c>
      <c r="AN66" s="176">
        <f t="shared" si="200"/>
        <v>1188373.4142058783</v>
      </c>
      <c r="AO66" s="176">
        <f t="shared" si="200"/>
        <v>1209937.6891566624</v>
      </c>
      <c r="AP66" s="176">
        <f t="shared" si="200"/>
        <v>1231933.2496064624</v>
      </c>
      <c r="AQ66" s="176">
        <f t="shared" si="200"/>
        <v>1254368.7212652583</v>
      </c>
      <c r="AR66" s="176">
        <f t="shared" si="200"/>
        <v>1277252.9023572302</v>
      </c>
      <c r="AS66" s="176">
        <f t="shared" si="200"/>
        <v>1300594.7670710415</v>
      </c>
      <c r="AT66" s="176">
        <f t="shared" si="200"/>
        <v>1324403.4690791292</v>
      </c>
      <c r="AU66" s="176">
        <f t="shared" si="200"/>
        <v>1348688.3451273784</v>
      </c>
      <c r="AV66" s="176">
        <f t="shared" si="200"/>
        <v>1373458.9186965926</v>
      </c>
      <c r="AW66" s="176">
        <f t="shared" si="200"/>
        <v>1398724.9037371911</v>
      </c>
    </row>
    <row r="67" spans="1:49" x14ac:dyDescent="0.2">
      <c r="A67" s="93" t="s">
        <v>166</v>
      </c>
      <c r="B67" s="32"/>
      <c r="C67" s="31"/>
      <c r="D67" s="31"/>
      <c r="E67" s="31"/>
      <c r="F67" s="31"/>
      <c r="G67" s="31"/>
      <c r="H67" s="31"/>
      <c r="I67" s="176"/>
      <c r="J67" s="176"/>
      <c r="K67" s="176"/>
      <c r="L67" s="176"/>
      <c r="M67" s="176"/>
      <c r="N67" s="176"/>
      <c r="O67" s="176">
        <f t="shared" ref="O67:S67" si="201">(O39+O49)/2</f>
        <v>236745.5</v>
      </c>
      <c r="P67" s="176">
        <f t="shared" si="201"/>
        <v>236745.5</v>
      </c>
      <c r="Q67" s="176">
        <f t="shared" si="201"/>
        <v>236745.5</v>
      </c>
      <c r="R67" s="176">
        <f t="shared" si="201"/>
        <v>236745.5</v>
      </c>
      <c r="S67" s="176">
        <f t="shared" si="201"/>
        <v>236745.5</v>
      </c>
      <c r="T67" s="181">
        <f>(T39+T49)/2</f>
        <v>236745.5</v>
      </c>
      <c r="U67" s="56">
        <f>(U39+U49)/2</f>
        <v>0</v>
      </c>
      <c r="V67" s="56">
        <f>(V39+V49)/2</f>
        <v>0</v>
      </c>
      <c r="W67" s="56">
        <f t="shared" ref="W67:AV67" si="202">(W39+W49)/2</f>
        <v>0</v>
      </c>
      <c r="X67" s="56">
        <f t="shared" si="202"/>
        <v>0</v>
      </c>
      <c r="Y67" s="181">
        <f t="shared" si="202"/>
        <v>883429.61051156244</v>
      </c>
      <c r="Z67" s="56">
        <f t="shared" si="202"/>
        <v>883429.61051156244</v>
      </c>
      <c r="AA67" s="56">
        <f t="shared" si="202"/>
        <v>883429.61051156244</v>
      </c>
      <c r="AB67" s="56">
        <f t="shared" si="202"/>
        <v>883429.61051156244</v>
      </c>
      <c r="AC67" s="56">
        <f t="shared" si="202"/>
        <v>883429.61051156244</v>
      </c>
      <c r="AD67" s="56">
        <f t="shared" si="202"/>
        <v>883429.61051156244</v>
      </c>
      <c r="AE67" s="56">
        <f t="shared" si="202"/>
        <v>883429.61051156244</v>
      </c>
      <c r="AF67" s="56">
        <f t="shared" si="202"/>
        <v>883429.61051156244</v>
      </c>
      <c r="AG67" s="56">
        <f t="shared" si="202"/>
        <v>883429.61051156244</v>
      </c>
      <c r="AH67" s="56">
        <f t="shared" si="202"/>
        <v>883429.61051156244</v>
      </c>
      <c r="AI67" s="56">
        <f t="shared" si="202"/>
        <v>883429.61051156244</v>
      </c>
      <c r="AJ67" s="56">
        <f t="shared" si="202"/>
        <v>883429.61051156244</v>
      </c>
      <c r="AK67" s="56">
        <f t="shared" si="202"/>
        <v>883429.61051156244</v>
      </c>
      <c r="AL67" s="56">
        <f t="shared" si="202"/>
        <v>883429.61051156244</v>
      </c>
      <c r="AM67" s="56">
        <f t="shared" si="202"/>
        <v>883429.61051156244</v>
      </c>
      <c r="AN67" s="56">
        <f t="shared" si="202"/>
        <v>883429.61051156244</v>
      </c>
      <c r="AO67" s="56">
        <f t="shared" si="202"/>
        <v>883429.61051156244</v>
      </c>
      <c r="AP67" s="56">
        <f t="shared" si="202"/>
        <v>883429.61051156244</v>
      </c>
      <c r="AQ67" s="56">
        <f t="shared" si="202"/>
        <v>883429.61051156244</v>
      </c>
      <c r="AR67" s="56">
        <f t="shared" si="202"/>
        <v>883429.61051156244</v>
      </c>
      <c r="AS67" s="56">
        <f t="shared" si="202"/>
        <v>883429.61051156244</v>
      </c>
      <c r="AT67" s="56">
        <f t="shared" si="202"/>
        <v>883429.61051156244</v>
      </c>
      <c r="AU67" s="56">
        <f t="shared" si="202"/>
        <v>883429.61051156244</v>
      </c>
      <c r="AV67" s="56">
        <f t="shared" si="202"/>
        <v>883429.61051156244</v>
      </c>
      <c r="AW67" s="56">
        <v>0</v>
      </c>
    </row>
    <row r="68" spans="1:49" x14ac:dyDescent="0.2">
      <c r="A68" s="93" t="s">
        <v>160</v>
      </c>
      <c r="B68" s="32"/>
      <c r="C68" s="31"/>
      <c r="D68" s="31"/>
      <c r="E68" s="31"/>
      <c r="F68" s="31"/>
      <c r="G68" s="31"/>
      <c r="H68" s="31"/>
      <c r="I68" s="56"/>
      <c r="J68" s="56"/>
      <c r="K68" s="56"/>
      <c r="L68" s="56"/>
      <c r="M68" s="56"/>
      <c r="N68" s="56"/>
      <c r="O68" s="56">
        <f t="shared" ref="O68" si="203">O66+O67</f>
        <v>915449.04233333329</v>
      </c>
      <c r="P68" s="195">
        <f t="shared" ref="P68" si="204">P66+P67</f>
        <v>927323.18384666659</v>
      </c>
      <c r="Q68" s="195">
        <f t="shared" ref="Q68" si="205">Q66+Q67</f>
        <v>1030660.7952115866</v>
      </c>
      <c r="R68" s="195">
        <f t="shared" ref="R68" si="206">R66+R67</f>
        <v>1044335.9077824851</v>
      </c>
      <c r="S68" s="195">
        <f t="shared" ref="S68" si="207">S66+S67</f>
        <v>1088617.8559381347</v>
      </c>
      <c r="T68" s="195">
        <f t="shared" ref="T68" si="208">T66+T67</f>
        <v>1072512.1097235642</v>
      </c>
      <c r="U68" s="195">
        <f t="shared" ref="U68" si="209">U66+U67</f>
        <v>850278.74858470215</v>
      </c>
      <c r="V68" s="195">
        <f t="shared" ref="V68" si="210">V66+V67</f>
        <v>865081.13022306282</v>
      </c>
      <c r="W68" s="195">
        <f t="shared" ref="W68" si="211">W66+W67</f>
        <v>880179.55949419085</v>
      </c>
      <c r="X68" s="195">
        <f>X66+X67+Y67</f>
        <v>1779009.5678623039</v>
      </c>
      <c r="Y68" s="195">
        <f t="shared" ref="Y68" si="212">Y66+Y67</f>
        <v>1794717.9736759854</v>
      </c>
      <c r="Z68" s="195">
        <f t="shared" ref="Z68" si="213">Z66+Z67</f>
        <v>1810740.5476059404</v>
      </c>
      <c r="AA68" s="195">
        <f t="shared" ref="AA68" si="214">AA66+AA67</f>
        <v>1827083.573014495</v>
      </c>
      <c r="AB68" s="195">
        <f t="shared" ref="AB68" si="215">AB66+AB67</f>
        <v>1843753.45893122</v>
      </c>
      <c r="AC68" s="195">
        <f t="shared" ref="AC68" si="216">AC66+AC67</f>
        <v>1860756.7425662796</v>
      </c>
      <c r="AD68" s="195">
        <f t="shared" ref="AD68" si="217">AD66+AD67</f>
        <v>1878100.0918740409</v>
      </c>
      <c r="AE68" s="195">
        <f t="shared" ref="AE68" si="218">AE66+AE67</f>
        <v>1895790.308167957</v>
      </c>
      <c r="AF68" s="195">
        <f t="shared" ref="AF68" si="219">AF66+AF67</f>
        <v>1913834.3287877517</v>
      </c>
      <c r="AG68" s="195">
        <f t="shared" ref="AG68" si="220">AG66+AG67</f>
        <v>1932239.2298199423</v>
      </c>
      <c r="AH68" s="195">
        <f t="shared" ref="AH68" si="221">AH66+AH67</f>
        <v>1951012.2288727765</v>
      </c>
      <c r="AI68" s="195">
        <f t="shared" ref="AI68" si="222">AI66+AI67</f>
        <v>1970160.6879066676</v>
      </c>
      <c r="AJ68" s="195">
        <f t="shared" ref="AJ68" si="223">AJ66+AJ67</f>
        <v>1989692.1161212362</v>
      </c>
      <c r="AK68" s="195">
        <f t="shared" ref="AK68" si="224">AK66+AK67</f>
        <v>2009614.1729000965</v>
      </c>
      <c r="AL68" s="195">
        <f t="shared" ref="AL68" si="225">AL66+AL67</f>
        <v>2029934.6708145342</v>
      </c>
      <c r="AM68" s="195">
        <f t="shared" ref="AM68" si="226">AM66+AM67</f>
        <v>2050661.5786872599</v>
      </c>
      <c r="AN68" s="195">
        <f t="shared" ref="AN68" si="227">AN66+AN67</f>
        <v>2071803.0247174408</v>
      </c>
      <c r="AO68" s="195">
        <f t="shared" ref="AO68" si="228">AO66+AO67</f>
        <v>2093367.299668225</v>
      </c>
      <c r="AP68" s="195">
        <f t="shared" ref="AP68" si="229">AP66+AP67</f>
        <v>2115362.860118025</v>
      </c>
      <c r="AQ68" s="195">
        <f t="shared" ref="AQ68" si="230">AQ66+AQ67</f>
        <v>2137798.3317768206</v>
      </c>
      <c r="AR68" s="195">
        <f t="shared" ref="AR68" si="231">AR66+AR67</f>
        <v>2160682.5128687927</v>
      </c>
      <c r="AS68" s="195">
        <f t="shared" ref="AS68" si="232">AS66+AS67</f>
        <v>2184024.3775826041</v>
      </c>
      <c r="AT68" s="195">
        <f t="shared" ref="AT68" si="233">AT66+AT67</f>
        <v>2207833.0795906917</v>
      </c>
      <c r="AU68" s="195">
        <f t="shared" ref="AU68" si="234">AU66+AU67</f>
        <v>2232117.9556389409</v>
      </c>
      <c r="AV68" s="195">
        <f t="shared" ref="AV68" si="235">AV66+AV67</f>
        <v>2256888.5292081549</v>
      </c>
      <c r="AW68" s="195">
        <f t="shared" ref="AW68" si="236">AW66+AW67</f>
        <v>1398724.9037371911</v>
      </c>
    </row>
    <row r="69" spans="1:49" x14ac:dyDescent="0.2">
      <c r="A69" s="32"/>
      <c r="B69" s="32"/>
      <c r="C69" s="31"/>
      <c r="D69" s="31"/>
      <c r="E69" s="31"/>
      <c r="F69" s="31"/>
      <c r="G69" s="31"/>
      <c r="H69" s="31"/>
      <c r="I69" s="56"/>
      <c r="J69" s="56"/>
      <c r="K69" s="56"/>
      <c r="L69" s="126"/>
      <c r="M69" s="56"/>
    </row>
    <row r="70" spans="1:49"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row>
    <row r="71" spans="1:49" hidden="1" x14ac:dyDescent="0.2">
      <c r="A71" s="22" t="s">
        <v>149</v>
      </c>
      <c r="B71" s="32"/>
      <c r="C71" s="31">
        <f>+C25-C54</f>
        <v>-503339</v>
      </c>
      <c r="D71" s="56">
        <f t="shared" ref="D71:M71" si="237">D25-D54</f>
        <v>56953</v>
      </c>
      <c r="E71" s="56">
        <f t="shared" si="237"/>
        <v>-71254</v>
      </c>
      <c r="F71" s="56">
        <f t="shared" si="237"/>
        <v>69621</v>
      </c>
      <c r="G71" s="56">
        <f t="shared" si="237"/>
        <v>-126706</v>
      </c>
      <c r="H71" s="56">
        <f t="shared" si="237"/>
        <v>-147759</v>
      </c>
      <c r="I71" s="56">
        <f t="shared" si="237"/>
        <v>-29848</v>
      </c>
      <c r="J71" s="56">
        <f t="shared" si="237"/>
        <v>-40656</v>
      </c>
      <c r="K71" s="56">
        <f t="shared" si="237"/>
        <v>90799</v>
      </c>
      <c r="L71" s="56">
        <f t="shared" si="237"/>
        <v>-161269</v>
      </c>
      <c r="M71" s="56">
        <f t="shared" si="237"/>
        <v>-142161</v>
      </c>
      <c r="N71" s="157" t="e">
        <f>#REF!-#REF!</f>
        <v>#REF!</v>
      </c>
      <c r="O71" s="156" t="e">
        <f>#REF!-N54</f>
        <v>#REF!</v>
      </c>
    </row>
    <row r="72" spans="1:49" hidden="1" x14ac:dyDescent="0.2">
      <c r="A72" s="22" t="s">
        <v>61</v>
      </c>
      <c r="B72" s="32"/>
      <c r="C72" s="31">
        <v>687253.87</v>
      </c>
      <c r="D72" s="31">
        <f>+C80</f>
        <v>183914.87</v>
      </c>
      <c r="E72" s="31">
        <f t="shared" ref="E72:O72" si="238">+D80</f>
        <v>240867.87</v>
      </c>
      <c r="F72" s="31">
        <f t="shared" si="238"/>
        <v>169613.87</v>
      </c>
      <c r="G72" s="31">
        <f t="shared" si="238"/>
        <v>239234.87</v>
      </c>
      <c r="H72" s="31">
        <f t="shared" si="238"/>
        <v>112528.87</v>
      </c>
      <c r="I72" s="31">
        <f t="shared" si="238"/>
        <v>-35230.130000000005</v>
      </c>
      <c r="J72" s="31">
        <f t="shared" si="238"/>
        <v>-65078.130000000005</v>
      </c>
      <c r="K72" s="31">
        <f t="shared" si="238"/>
        <v>-105734.13</v>
      </c>
      <c r="L72" s="31">
        <f t="shared" si="238"/>
        <v>-14935.130000000005</v>
      </c>
      <c r="M72" s="31">
        <f t="shared" si="238"/>
        <v>-176204.13</v>
      </c>
      <c r="N72" s="157">
        <f t="shared" si="238"/>
        <v>-318365.13</v>
      </c>
      <c r="O72" s="156" t="e">
        <f t="shared" si="238"/>
        <v>#REF!</v>
      </c>
    </row>
    <row r="73" spans="1:49" hidden="1" x14ac:dyDescent="0.2">
      <c r="A73" s="22" t="s">
        <v>150</v>
      </c>
      <c r="B73" s="32"/>
      <c r="C73" s="31">
        <f t="shared" ref="C73:D73" si="239">SUM(C71:C72)</f>
        <v>183914.87</v>
      </c>
      <c r="D73" s="31">
        <f t="shared" si="239"/>
        <v>240867.87</v>
      </c>
      <c r="E73" s="31">
        <f t="shared" ref="E73:O73" si="240">SUM(E71:E72)</f>
        <v>169613.87</v>
      </c>
      <c r="F73" s="31">
        <f t="shared" si="240"/>
        <v>239234.87</v>
      </c>
      <c r="G73" s="31">
        <f t="shared" si="240"/>
        <v>112528.87</v>
      </c>
      <c r="H73" s="31">
        <f t="shared" si="240"/>
        <v>-35230.130000000005</v>
      </c>
      <c r="I73" s="31">
        <f t="shared" si="240"/>
        <v>-65078.130000000005</v>
      </c>
      <c r="J73" s="31">
        <f t="shared" si="240"/>
        <v>-105734.13</v>
      </c>
      <c r="K73" s="31">
        <f t="shared" si="240"/>
        <v>-14935.130000000005</v>
      </c>
      <c r="L73" s="31">
        <f t="shared" si="240"/>
        <v>-176204.13</v>
      </c>
      <c r="M73" s="31">
        <f t="shared" si="240"/>
        <v>-318365.13</v>
      </c>
      <c r="N73" s="157" t="e">
        <f t="shared" si="240"/>
        <v>#REF!</v>
      </c>
      <c r="O73" s="156" t="e">
        <f t="shared" si="240"/>
        <v>#REF!</v>
      </c>
    </row>
    <row r="74" spans="1:49" hidden="1" x14ac:dyDescent="0.2">
      <c r="A74" s="22" t="s">
        <v>148</v>
      </c>
      <c r="B74" s="32"/>
      <c r="C74" s="77">
        <f t="shared" ref="C74:N74" si="241">+C60</f>
        <v>183914.87000000011</v>
      </c>
      <c r="D74" s="77">
        <f t="shared" si="241"/>
        <v>240867.87000000011</v>
      </c>
      <c r="E74" s="77">
        <f t="shared" si="241"/>
        <v>169613.87000000011</v>
      </c>
      <c r="F74" s="77">
        <f t="shared" si="241"/>
        <v>239234.87000000011</v>
      </c>
      <c r="G74" s="77">
        <f t="shared" si="241"/>
        <v>112528.87000000011</v>
      </c>
      <c r="H74" s="77">
        <f t="shared" si="241"/>
        <v>-35230.129999999888</v>
      </c>
      <c r="I74" s="77">
        <f t="shared" si="241"/>
        <v>469886.10000000009</v>
      </c>
      <c r="J74" s="77">
        <f t="shared" si="241"/>
        <v>429226.88000000035</v>
      </c>
      <c r="K74" s="77">
        <f t="shared" si="241"/>
        <v>529143.36999999965</v>
      </c>
      <c r="L74" s="77">
        <f t="shared" si="241"/>
        <v>368653.2799999998</v>
      </c>
      <c r="M74" s="77">
        <f t="shared" si="241"/>
        <v>226493.4599999995</v>
      </c>
      <c r="N74" s="157">
        <f t="shared" si="241"/>
        <v>541715.89999999898</v>
      </c>
      <c r="O74" s="153"/>
    </row>
    <row r="75" spans="1:49" ht="25.5" hidden="1" x14ac:dyDescent="0.2">
      <c r="A75" s="113" t="s">
        <v>92</v>
      </c>
      <c r="B75" s="114"/>
      <c r="C75" s="115"/>
      <c r="D75" s="116">
        <f t="shared" ref="D75:M75" si="242">+((D77+D78+D79)/2)+(D54/4)</f>
        <v>685901.25</v>
      </c>
      <c r="E75" s="116">
        <f t="shared" si="242"/>
        <v>688371</v>
      </c>
      <c r="F75" s="116">
        <f t="shared" si="242"/>
        <v>670444.5</v>
      </c>
      <c r="G75" s="116">
        <f t="shared" si="242"/>
        <v>711125.5</v>
      </c>
      <c r="H75" s="116">
        <f t="shared" si="242"/>
        <v>690406.25</v>
      </c>
      <c r="I75" s="116">
        <f t="shared" si="242"/>
        <v>664298.25</v>
      </c>
      <c r="J75" s="116">
        <f t="shared" si="242"/>
        <v>661563.5</v>
      </c>
      <c r="K75" s="116">
        <f t="shared" si="242"/>
        <v>631687.5</v>
      </c>
      <c r="L75" s="116">
        <f t="shared" si="242"/>
        <v>683871.5</v>
      </c>
      <c r="M75" s="116">
        <f t="shared" si="242"/>
        <v>647955</v>
      </c>
      <c r="N75" s="116" t="e">
        <f>+((N77+N78+N79)/2)+(#REF!/4)</f>
        <v>#REF!</v>
      </c>
      <c r="O75" s="116">
        <f>+((O77+O78+O79)/2)+(N54/4)</f>
        <v>597859.76500000001</v>
      </c>
    </row>
    <row r="76" spans="1:49" hidden="1" x14ac:dyDescent="0.2">
      <c r="A76" s="40" t="s">
        <v>53</v>
      </c>
      <c r="B76" s="92"/>
      <c r="C76" s="27"/>
      <c r="D76" s="27"/>
    </row>
    <row r="77" spans="1:49" hidden="1" x14ac:dyDescent="0.2">
      <c r="A77" s="50" t="s">
        <v>147</v>
      </c>
      <c r="B77" s="95"/>
      <c r="C77" s="31">
        <f>C105</f>
        <v>0</v>
      </c>
      <c r="D77" s="31"/>
      <c r="E77" s="31"/>
      <c r="F77" s="31"/>
      <c r="G77" s="31"/>
    </row>
    <row r="78" spans="1:49" hidden="1" x14ac:dyDescent="0.2">
      <c r="A78" s="61"/>
      <c r="B78" s="95"/>
      <c r="C78" s="27"/>
      <c r="D78" s="27"/>
    </row>
    <row r="79" spans="1:49" hidden="1" x14ac:dyDescent="0.2">
      <c r="A79" s="61"/>
      <c r="B79" s="95"/>
      <c r="C79" s="33"/>
      <c r="D79" s="33"/>
    </row>
    <row r="80" spans="1:49" hidden="1" x14ac:dyDescent="0.2">
      <c r="A80" s="62" t="s">
        <v>74</v>
      </c>
      <c r="B80" s="96"/>
      <c r="C80" s="78">
        <f t="shared" ref="C80:N80" si="243">+C73-C76-C77</f>
        <v>183914.87</v>
      </c>
      <c r="D80" s="78">
        <f t="shared" si="243"/>
        <v>240867.87</v>
      </c>
      <c r="E80" s="78">
        <f t="shared" si="243"/>
        <v>169613.87</v>
      </c>
      <c r="F80" s="78">
        <f t="shared" si="243"/>
        <v>239234.87</v>
      </c>
      <c r="G80" s="78">
        <f t="shared" si="243"/>
        <v>112528.87</v>
      </c>
      <c r="H80" s="78">
        <f t="shared" si="243"/>
        <v>-35230.130000000005</v>
      </c>
      <c r="I80" s="78">
        <f t="shared" si="243"/>
        <v>-65078.130000000005</v>
      </c>
      <c r="J80" s="78">
        <f t="shared" si="243"/>
        <v>-105734.13</v>
      </c>
      <c r="K80" s="78">
        <f t="shared" si="243"/>
        <v>-14935.130000000005</v>
      </c>
      <c r="L80" s="78">
        <f t="shared" si="243"/>
        <v>-176204.13</v>
      </c>
      <c r="M80" s="78">
        <f t="shared" si="243"/>
        <v>-318365.13</v>
      </c>
      <c r="N80" s="78" t="e">
        <f t="shared" si="243"/>
        <v>#REF!</v>
      </c>
    </row>
    <row r="81" spans="1:15" s="125" customFormat="1" hidden="1" x14ac:dyDescent="0.2">
      <c r="A81" s="62"/>
      <c r="B81" s="124"/>
      <c r="C81" s="124"/>
      <c r="D81" s="124"/>
      <c r="E81" s="124"/>
      <c r="F81" s="124"/>
      <c r="G81" s="124"/>
      <c r="H81" s="124"/>
      <c r="I81" s="124"/>
      <c r="J81" s="124"/>
      <c r="K81" s="124"/>
      <c r="L81" s="124"/>
      <c r="M81" s="124"/>
      <c r="N81" s="124"/>
      <c r="O81" s="124"/>
    </row>
    <row r="82" spans="1:15" hidden="1" x14ac:dyDescent="0.2"/>
    <row r="83" spans="1:15" hidden="1" x14ac:dyDescent="0.2"/>
    <row r="84" spans="1:15" hidden="1" x14ac:dyDescent="0.2"/>
    <row r="85" spans="1:15" hidden="1" x14ac:dyDescent="0.2"/>
    <row r="86" spans="1:15" ht="18" hidden="1" customHeight="1" x14ac:dyDescent="0.2"/>
    <row r="87" spans="1:15" hidden="1" x14ac:dyDescent="0.2"/>
    <row r="88" spans="1:15" hidden="1" x14ac:dyDescent="0.2"/>
    <row r="89" spans="1:15" x14ac:dyDescent="0.2">
      <c r="A89" s="59" t="s">
        <v>193</v>
      </c>
      <c r="B89" s="97"/>
      <c r="C89" s="31"/>
      <c r="D89" s="31"/>
    </row>
    <row r="90" spans="1:15" x14ac:dyDescent="0.2">
      <c r="A90" s="203" t="s">
        <v>176</v>
      </c>
      <c r="B90" s="98"/>
      <c r="C90" s="31">
        <v>0</v>
      </c>
      <c r="D90" s="226">
        <v>26000000</v>
      </c>
      <c r="E90" s="31">
        <v>26000000</v>
      </c>
      <c r="F90" s="31">
        <v>26000000</v>
      </c>
      <c r="G90" s="31">
        <v>26000000</v>
      </c>
      <c r="H90" s="226">
        <v>26000000</v>
      </c>
      <c r="I90" s="31">
        <v>26000000</v>
      </c>
      <c r="J90" s="31">
        <v>26000000</v>
      </c>
      <c r="K90" s="31">
        <v>26000000</v>
      </c>
      <c r="L90" s="226">
        <v>26000000</v>
      </c>
      <c r="M90" s="226">
        <v>26000000</v>
      </c>
      <c r="N90" s="226">
        <v>26000000</v>
      </c>
    </row>
    <row r="91" spans="1:15" x14ac:dyDescent="0.2">
      <c r="A91" s="58" t="s">
        <v>53</v>
      </c>
      <c r="B91" s="98"/>
      <c r="C91" s="31">
        <f>+C104*0.0035</f>
        <v>0</v>
      </c>
      <c r="D91" s="227">
        <f>+D90*0.0035</f>
        <v>91000</v>
      </c>
      <c r="E91" s="31">
        <f t="shared" ref="E91:G91" si="244">+E90*0.0035</f>
        <v>91000</v>
      </c>
      <c r="F91" s="31">
        <f t="shared" si="244"/>
        <v>91000</v>
      </c>
      <c r="G91" s="31">
        <f t="shared" si="244"/>
        <v>91000</v>
      </c>
      <c r="H91" s="227">
        <f>+H90*0.0035</f>
        <v>91000</v>
      </c>
      <c r="I91" s="31">
        <f t="shared" ref="I91:K91" si="245">+I90*0.0035</f>
        <v>91000</v>
      </c>
      <c r="J91" s="31">
        <f t="shared" si="245"/>
        <v>91000</v>
      </c>
      <c r="K91" s="31">
        <f t="shared" si="245"/>
        <v>91000</v>
      </c>
      <c r="L91" s="227">
        <f t="shared" ref="L91" si="246">+L90*0.0035</f>
        <v>91000</v>
      </c>
      <c r="M91" s="227">
        <f t="shared" ref="M91" si="247">+M90*0.0035</f>
        <v>91000</v>
      </c>
      <c r="N91" s="227">
        <f t="shared" ref="N91" si="248">+N90*0.0035</f>
        <v>91000</v>
      </c>
    </row>
    <row r="92" spans="1:15" x14ac:dyDescent="0.2">
      <c r="A92" s="58" t="s">
        <v>188</v>
      </c>
      <c r="B92" s="98"/>
      <c r="C92" s="31" t="s">
        <v>99</v>
      </c>
      <c r="D92" s="228">
        <v>2022</v>
      </c>
      <c r="E92" s="171">
        <v>2022</v>
      </c>
      <c r="F92" s="171">
        <v>2022</v>
      </c>
      <c r="G92" s="171">
        <v>2022</v>
      </c>
      <c r="H92" s="228">
        <v>2022</v>
      </c>
      <c r="I92" s="171">
        <v>2022</v>
      </c>
      <c r="J92" s="171">
        <v>2022</v>
      </c>
      <c r="K92" s="171">
        <v>2022</v>
      </c>
      <c r="L92" s="228">
        <v>2022</v>
      </c>
      <c r="M92" s="228">
        <v>2022</v>
      </c>
      <c r="N92" s="228">
        <v>2022</v>
      </c>
    </row>
    <row r="93" spans="1:15" x14ac:dyDescent="0.2">
      <c r="A93" s="58" t="s">
        <v>190</v>
      </c>
      <c r="D93" s="228">
        <v>4</v>
      </c>
      <c r="E93" s="171">
        <v>4</v>
      </c>
      <c r="F93" s="171">
        <v>4</v>
      </c>
      <c r="G93" s="171">
        <v>4</v>
      </c>
      <c r="H93" s="228">
        <v>4</v>
      </c>
      <c r="I93" s="171">
        <v>4</v>
      </c>
      <c r="J93" s="171">
        <v>4</v>
      </c>
      <c r="K93" s="171">
        <v>4</v>
      </c>
      <c r="L93" s="228">
        <v>4</v>
      </c>
      <c r="M93" s="228">
        <v>4</v>
      </c>
      <c r="N93" s="228">
        <v>4</v>
      </c>
    </row>
    <row r="94" spans="1:15" x14ac:dyDescent="0.2">
      <c r="A94" s="58" t="s">
        <v>189</v>
      </c>
      <c r="B94" s="98"/>
      <c r="C94" s="31" t="s">
        <v>99</v>
      </c>
      <c r="D94" s="228">
        <f>D92+D93</f>
        <v>2026</v>
      </c>
      <c r="E94" s="171">
        <f t="shared" ref="E94:G94" si="249">E92+E93</f>
        <v>2026</v>
      </c>
      <c r="F94" s="171">
        <f t="shared" si="249"/>
        <v>2026</v>
      </c>
      <c r="G94" s="171">
        <f t="shared" si="249"/>
        <v>2026</v>
      </c>
      <c r="H94" s="228">
        <f>H92+H93</f>
        <v>2026</v>
      </c>
      <c r="I94" s="171">
        <f t="shared" ref="I94:K94" si="250">I92+I93</f>
        <v>2026</v>
      </c>
      <c r="J94" s="171">
        <f t="shared" si="250"/>
        <v>2026</v>
      </c>
      <c r="K94" s="171">
        <f t="shared" si="250"/>
        <v>2026</v>
      </c>
      <c r="L94" s="228">
        <f t="shared" ref="L94" si="251">L92+L93</f>
        <v>2026</v>
      </c>
      <c r="M94" s="228">
        <f t="shared" ref="M94" si="252">M92+M93</f>
        <v>2026</v>
      </c>
      <c r="N94" s="228">
        <f t="shared" ref="N94" si="253">N92+N93</f>
        <v>2026</v>
      </c>
    </row>
    <row r="95" spans="1:15" x14ac:dyDescent="0.2">
      <c r="A95" s="58" t="s">
        <v>66</v>
      </c>
      <c r="B95" s="98"/>
      <c r="C95" s="31">
        <v>0</v>
      </c>
      <c r="D95" s="228">
        <v>25</v>
      </c>
      <c r="E95" s="171">
        <v>25</v>
      </c>
      <c r="F95" s="171">
        <v>25</v>
      </c>
      <c r="G95" s="171">
        <v>25</v>
      </c>
      <c r="H95" s="228">
        <v>25</v>
      </c>
      <c r="I95" s="171">
        <v>25</v>
      </c>
      <c r="J95" s="171">
        <v>25</v>
      </c>
      <c r="K95" s="171">
        <v>25</v>
      </c>
      <c r="L95" s="228">
        <v>25</v>
      </c>
      <c r="M95" s="228">
        <v>25</v>
      </c>
      <c r="N95" s="228">
        <v>25</v>
      </c>
    </row>
    <row r="96" spans="1:15" x14ac:dyDescent="0.2">
      <c r="A96" s="58" t="s">
        <v>67</v>
      </c>
      <c r="B96" s="98"/>
      <c r="C96" s="31">
        <v>0</v>
      </c>
      <c r="D96" s="229">
        <v>0.04</v>
      </c>
      <c r="E96" s="172">
        <v>3.5000000000000003E-2</v>
      </c>
      <c r="F96" s="172">
        <v>0.05</v>
      </c>
      <c r="G96" s="172">
        <v>0.06</v>
      </c>
      <c r="H96" s="229">
        <v>1.7500000000000002E-2</v>
      </c>
      <c r="I96" s="172">
        <v>0.01</v>
      </c>
      <c r="J96" s="172">
        <v>0.02</v>
      </c>
      <c r="K96" s="172">
        <v>0.03</v>
      </c>
      <c r="L96" s="229">
        <v>3.0499999999999999E-2</v>
      </c>
      <c r="M96" s="229">
        <v>2.7E-2</v>
      </c>
      <c r="N96" s="229">
        <v>1.4E-2</v>
      </c>
    </row>
    <row r="97" spans="1:14" hidden="1" x14ac:dyDescent="0.2">
      <c r="A97" s="58" t="s">
        <v>77</v>
      </c>
      <c r="B97" s="98"/>
      <c r="C97" s="31">
        <v>0</v>
      </c>
      <c r="D97" s="229">
        <v>0</v>
      </c>
      <c r="E97" s="172">
        <v>0</v>
      </c>
      <c r="F97" s="172">
        <v>0</v>
      </c>
      <c r="G97" s="172">
        <v>0</v>
      </c>
      <c r="H97" s="229">
        <v>0</v>
      </c>
      <c r="I97" s="172">
        <v>0</v>
      </c>
      <c r="J97" s="172">
        <v>0</v>
      </c>
      <c r="K97" s="172">
        <v>0</v>
      </c>
      <c r="L97" s="229">
        <v>0</v>
      </c>
      <c r="M97" s="229">
        <v>0</v>
      </c>
      <c r="N97" s="229">
        <v>0</v>
      </c>
    </row>
    <row r="98" spans="1:14" x14ac:dyDescent="0.2">
      <c r="A98" s="59" t="s">
        <v>192</v>
      </c>
      <c r="B98" s="202"/>
      <c r="C98" s="31"/>
      <c r="D98" s="228"/>
      <c r="E98" s="171"/>
      <c r="F98" s="171"/>
      <c r="G98" s="171"/>
      <c r="H98" s="228"/>
      <c r="I98" s="171"/>
      <c r="J98" s="171"/>
      <c r="K98" s="171"/>
      <c r="L98" s="228"/>
      <c r="M98" s="228"/>
      <c r="N98" s="228"/>
    </row>
    <row r="99" spans="1:14" x14ac:dyDescent="0.2">
      <c r="A99" s="58" t="s">
        <v>197</v>
      </c>
      <c r="D99" s="230">
        <f t="shared" ref="D99:L99" si="254">-FV(D96,4,0,D90/D93,0)-D90/4</f>
        <v>1104080.6400000015</v>
      </c>
      <c r="E99" s="167">
        <f t="shared" si="254"/>
        <v>958899.50406249799</v>
      </c>
      <c r="F99" s="167">
        <f t="shared" si="254"/>
        <v>1400790.625</v>
      </c>
      <c r="G99" s="167">
        <f t="shared" si="254"/>
        <v>1706100.2400000021</v>
      </c>
      <c r="H99" s="230">
        <f t="shared" si="254"/>
        <v>467083.70337890834</v>
      </c>
      <c r="I99" s="167">
        <f t="shared" si="254"/>
        <v>263926.06500000041</v>
      </c>
      <c r="J99" s="167">
        <f t="shared" si="254"/>
        <v>535809.04</v>
      </c>
      <c r="K99" s="167">
        <f t="shared" si="254"/>
        <v>815807.26499999966</v>
      </c>
      <c r="L99" s="230">
        <f t="shared" si="254"/>
        <v>830023.06312290486</v>
      </c>
      <c r="M99" s="230">
        <f t="shared" ref="M99" si="255">-FV(M96,4,0,M90/M93,0)-M90/4</f>
        <v>730946.21236649714</v>
      </c>
      <c r="N99" s="230">
        <f t="shared" ref="N99" si="256">-FV(N96,4,0,N90/N93,0)-N90/4</f>
        <v>371715.59370400198</v>
      </c>
    </row>
    <row r="100" spans="1:14" x14ac:dyDescent="0.2">
      <c r="A100" s="58" t="s">
        <v>198</v>
      </c>
      <c r="D100" s="230">
        <f t="shared" ref="D100:L100" si="257">-FV(D96,3,0,D90/D93,0)-D90/4</f>
        <v>811616.00000000093</v>
      </c>
      <c r="E100" s="167">
        <f t="shared" si="257"/>
        <v>706666.18749999814</v>
      </c>
      <c r="F100" s="167">
        <f t="shared" si="257"/>
        <v>1024562.5000000009</v>
      </c>
      <c r="G100" s="167">
        <f t="shared" si="257"/>
        <v>1241604.0000000019</v>
      </c>
      <c r="H100" s="230">
        <f t="shared" si="257"/>
        <v>347256.71093750093</v>
      </c>
      <c r="I100" s="167">
        <f t="shared" si="257"/>
        <v>196956.49999999907</v>
      </c>
      <c r="J100" s="167">
        <f t="shared" si="257"/>
        <v>397852</v>
      </c>
      <c r="K100" s="167">
        <f t="shared" si="257"/>
        <v>602725.5</v>
      </c>
      <c r="L100" s="230">
        <f t="shared" si="257"/>
        <v>613074.29706249852</v>
      </c>
      <c r="M100" s="230">
        <f t="shared" ref="M100" si="258">-FV(M96,3,0,M90/M93,0)-M90/4</f>
        <v>540843.43949999847</v>
      </c>
      <c r="N100" s="230">
        <f t="shared" ref="N100" si="259">-FV(N96,3,0,N90/N93,0)-N90/4</f>
        <v>276839.83600000106</v>
      </c>
    </row>
    <row r="101" spans="1:14" x14ac:dyDescent="0.2">
      <c r="A101" s="58" t="s">
        <v>199</v>
      </c>
      <c r="D101" s="230">
        <f t="shared" ref="D101:L101" si="260">-FV(D96,2,0,D90/D93,0)-D90/4</f>
        <v>530400.00000000093</v>
      </c>
      <c r="E101" s="167">
        <f t="shared" si="260"/>
        <v>462962.49999999907</v>
      </c>
      <c r="F101" s="167">
        <f t="shared" si="260"/>
        <v>666250</v>
      </c>
      <c r="G101" s="167">
        <f t="shared" si="260"/>
        <v>803400.00000000093</v>
      </c>
      <c r="H101" s="230">
        <f t="shared" si="260"/>
        <v>229490.62500000093</v>
      </c>
      <c r="I101" s="167">
        <f t="shared" si="260"/>
        <v>130650</v>
      </c>
      <c r="J101" s="167">
        <f t="shared" si="260"/>
        <v>262600</v>
      </c>
      <c r="K101" s="167">
        <f t="shared" si="260"/>
        <v>395850</v>
      </c>
      <c r="L101" s="230">
        <f t="shared" si="260"/>
        <v>402546.62499999907</v>
      </c>
      <c r="M101" s="230">
        <f t="shared" ref="M101" si="261">-FV(M96,2,0,M90/M93,0)-M90/4</f>
        <v>355738.49999999907</v>
      </c>
      <c r="N101" s="230">
        <f t="shared" ref="N101" si="262">-FV(N96,2,0,N90/N93,0)-N90/4</f>
        <v>183274.00000000093</v>
      </c>
    </row>
    <row r="102" spans="1:14" x14ac:dyDescent="0.2">
      <c r="A102" s="58" t="s">
        <v>200</v>
      </c>
      <c r="D102" s="230">
        <f t="shared" ref="D102:L102" si="263">-FV(D96,1,0,D90/D93,0)-D90/4</f>
        <v>260000</v>
      </c>
      <c r="E102" s="167">
        <f t="shared" si="263"/>
        <v>227499.99999999907</v>
      </c>
      <c r="F102" s="167">
        <f t="shared" si="263"/>
        <v>325000</v>
      </c>
      <c r="G102" s="167">
        <f t="shared" si="263"/>
        <v>390000</v>
      </c>
      <c r="H102" s="230">
        <f t="shared" si="263"/>
        <v>113750</v>
      </c>
      <c r="I102" s="167">
        <f t="shared" si="263"/>
        <v>65000</v>
      </c>
      <c r="J102" s="167">
        <f t="shared" si="263"/>
        <v>130000</v>
      </c>
      <c r="K102" s="167">
        <f t="shared" si="263"/>
        <v>195000</v>
      </c>
      <c r="L102" s="230">
        <f t="shared" si="263"/>
        <v>198250</v>
      </c>
      <c r="M102" s="230">
        <f t="shared" ref="M102" si="264">-FV(M96,1,0,M90/M93,0)-M90/4</f>
        <v>175499.99999999907</v>
      </c>
      <c r="N102" s="230">
        <f t="shared" ref="N102" si="265">-FV(N96,1,0,N90/N93,0)-N90/4</f>
        <v>91000</v>
      </c>
    </row>
    <row r="103" spans="1:14" x14ac:dyDescent="0.2">
      <c r="A103" s="59" t="s">
        <v>195</v>
      </c>
      <c r="D103" s="230"/>
      <c r="E103" s="167"/>
      <c r="F103" s="167"/>
      <c r="G103" s="167"/>
      <c r="H103" s="230"/>
      <c r="I103" s="167"/>
      <c r="J103" s="167"/>
      <c r="K103" s="167"/>
      <c r="L103" s="230"/>
      <c r="M103" s="230"/>
      <c r="N103" s="230"/>
    </row>
    <row r="104" spans="1:14" x14ac:dyDescent="0.2">
      <c r="A104" s="58" t="s">
        <v>191</v>
      </c>
      <c r="B104" s="98"/>
      <c r="C104" s="31">
        <f>FV(+C97,0,0,-C90,1)</f>
        <v>0</v>
      </c>
      <c r="D104" s="227">
        <f>SUM(D99:D102)+D90</f>
        <v>28706096.640000004</v>
      </c>
      <c r="E104" s="31">
        <f t="shared" ref="E104:G104" si="266">SUM(E99:E102)+E90</f>
        <v>28356028.191562496</v>
      </c>
      <c r="F104" s="31">
        <f t="shared" si="266"/>
        <v>29416603.125</v>
      </c>
      <c r="G104" s="31">
        <f t="shared" si="266"/>
        <v>30141104.240000006</v>
      </c>
      <c r="H104" s="227">
        <f>SUM(H99:H102)+H90</f>
        <v>27157581.039316408</v>
      </c>
      <c r="I104" s="31">
        <f t="shared" ref="I104:K104" si="267">SUM(I99:I102)+I90</f>
        <v>26656532.564999998</v>
      </c>
      <c r="J104" s="31">
        <f t="shared" si="267"/>
        <v>27326261.039999999</v>
      </c>
      <c r="K104" s="31">
        <f t="shared" si="267"/>
        <v>28009382.765000001</v>
      </c>
      <c r="L104" s="227">
        <f t="shared" ref="L104" si="268">SUM(L99:L102)+L90</f>
        <v>28043893.985185403</v>
      </c>
      <c r="M104" s="227">
        <f t="shared" ref="M104" si="269">SUM(M99:M102)+M90</f>
        <v>27803028.151866496</v>
      </c>
      <c r="N104" s="227">
        <f t="shared" ref="N104" si="270">SUM(N99:N102)+N90</f>
        <v>26922829.429704003</v>
      </c>
    </row>
    <row r="105" spans="1:14" ht="15" x14ac:dyDescent="0.25">
      <c r="A105" s="58" t="s">
        <v>68</v>
      </c>
      <c r="B105" s="98"/>
      <c r="C105" s="31">
        <v>0</v>
      </c>
      <c r="D105" s="233">
        <f>PMT(D96,D95,-D104,0,1)</f>
        <v>1766859.2210231249</v>
      </c>
      <c r="E105" s="187">
        <f t="shared" ref="E105:G105" si="271">PMT(E96,E95,-E104,0,1)</f>
        <v>1662294.3561463</v>
      </c>
      <c r="F105" s="187">
        <f t="shared" si="271"/>
        <v>1987790.7401094735</v>
      </c>
      <c r="G105" s="187">
        <f t="shared" si="271"/>
        <v>2224377.045272884</v>
      </c>
      <c r="H105" s="231">
        <f>PMT(H96,H95,-H104,0,1)</f>
        <v>1327305.5219139254</v>
      </c>
      <c r="I105" s="187">
        <f t="shared" ref="I105:K105" si="272">PMT(I96,I95,-I104,0,1)</f>
        <v>1198402.5749432005</v>
      </c>
      <c r="J105" s="187">
        <f t="shared" si="272"/>
        <v>1372218.6968401691</v>
      </c>
      <c r="K105" s="187">
        <f t="shared" si="272"/>
        <v>1561669.1469067852</v>
      </c>
      <c r="L105" s="231">
        <f t="shared" ref="L105" si="273">PMT(L96,L95,-L104,0,1)</f>
        <v>1571554.4230064969</v>
      </c>
      <c r="M105" s="231">
        <f t="shared" ref="M105" si="274">PMT(M96,M95,-M104,0,1)</f>
        <v>1503184.020256771</v>
      </c>
      <c r="N105" s="231">
        <f t="shared" ref="N105" si="275">PMT(N96,N95,-N104,0,1)</f>
        <v>1266064.3340275593</v>
      </c>
    </row>
    <row r="106" spans="1:14" x14ac:dyDescent="0.2">
      <c r="A106" s="58" t="s">
        <v>69</v>
      </c>
      <c r="B106" s="98"/>
      <c r="C106" s="31">
        <v>0</v>
      </c>
      <c r="D106" s="234">
        <f>+D105/2</f>
        <v>883429.61051156244</v>
      </c>
      <c r="E106" s="31">
        <f t="shared" ref="E106:G106" si="276">+E105/2</f>
        <v>831147.17807314999</v>
      </c>
      <c r="F106" s="31">
        <f t="shared" si="276"/>
        <v>993895.37005473673</v>
      </c>
      <c r="G106" s="31">
        <f t="shared" si="276"/>
        <v>1112188.522636442</v>
      </c>
      <c r="H106" s="227">
        <f>+H105/2</f>
        <v>663652.76095696271</v>
      </c>
      <c r="I106" s="31">
        <f t="shared" ref="I106:K106" si="277">+I105/2</f>
        <v>599201.28747160023</v>
      </c>
      <c r="J106" s="31">
        <f t="shared" si="277"/>
        <v>686109.34842008457</v>
      </c>
      <c r="K106" s="31">
        <f t="shared" si="277"/>
        <v>780834.5734533926</v>
      </c>
      <c r="L106" s="227">
        <f t="shared" ref="L106" si="278">+L105/2</f>
        <v>785777.21150324843</v>
      </c>
      <c r="M106" s="227">
        <f t="shared" ref="M106" si="279">+M105/2</f>
        <v>751592.0101283855</v>
      </c>
      <c r="N106" s="227">
        <f t="shared" ref="N106" si="280">+N105/2</f>
        <v>633032.16701377963</v>
      </c>
    </row>
    <row r="107" spans="1:14" x14ac:dyDescent="0.2">
      <c r="A107" s="58" t="s">
        <v>194</v>
      </c>
      <c r="B107" s="99"/>
      <c r="C107" s="31">
        <f>+C91+(C105*C95)</f>
        <v>0</v>
      </c>
      <c r="D107" s="235">
        <f>+D91+(D105*D95)</f>
        <v>44262480.525578119</v>
      </c>
      <c r="E107" s="31">
        <f t="shared" ref="E107:G107" si="281">+E91+(E105*E95)</f>
        <v>41648358.903657496</v>
      </c>
      <c r="F107" s="31">
        <f t="shared" si="281"/>
        <v>49785768.502736837</v>
      </c>
      <c r="G107" s="31">
        <f t="shared" si="281"/>
        <v>55700426.131822102</v>
      </c>
      <c r="H107" s="232">
        <f>+H91+(H105*H95)</f>
        <v>33273638.047848135</v>
      </c>
      <c r="I107" s="31">
        <f t="shared" ref="I107:K107" si="282">+I91+(I105*I95)</f>
        <v>30051064.373580012</v>
      </c>
      <c r="J107" s="31">
        <f t="shared" si="282"/>
        <v>34396467.421004228</v>
      </c>
      <c r="K107" s="31">
        <f t="shared" si="282"/>
        <v>39132728.672669627</v>
      </c>
      <c r="L107" s="232">
        <f t="shared" ref="L107" si="283">+L91+(L105*L95)</f>
        <v>39379860.575162418</v>
      </c>
      <c r="M107" s="232">
        <f t="shared" ref="M107" si="284">+M91+(M105*M95)</f>
        <v>37670600.506419279</v>
      </c>
      <c r="N107" s="232">
        <f t="shared" ref="N107" si="285">+N91+(N105*N95)</f>
        <v>31742608.350688983</v>
      </c>
    </row>
    <row r="108" spans="1:14" x14ac:dyDescent="0.2">
      <c r="I108" s="186"/>
      <c r="K108" s="186"/>
    </row>
  </sheetData>
  <printOptions headings="1" gridLines="1"/>
  <pageMargins left="0.7" right="0.7" top="0.75" bottom="0.75" header="0.3" footer="0.3"/>
  <pageSetup paperSize="17" scale="57" fitToWidth="0" orientation="landscape" r:id="rId1"/>
  <headerFooter>
    <oddHeader>&amp;R&amp;14With 4% Interest</oddHeader>
    <oddFooter>&amp;F</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indowProtection="1" workbookViewId="0">
      <selection activeCell="A3" sqref="A3"/>
    </sheetView>
  </sheetViews>
  <sheetFormatPr defaultRowHeight="12.75" x14ac:dyDescent="0.2"/>
  <sheetData>
    <row r="1" spans="1:3" x14ac:dyDescent="0.2">
      <c r="A1" t="s">
        <v>201</v>
      </c>
    </row>
    <row r="2" spans="1:3" x14ac:dyDescent="0.2">
      <c r="A2" s="205">
        <v>1</v>
      </c>
      <c r="B2" s="206">
        <v>42499</v>
      </c>
      <c r="C2"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Basic Data</vt:lpstr>
      <vt:lpstr>No Alternate</vt:lpstr>
      <vt:lpstr>Actuals as of April 2015</vt:lpstr>
      <vt:lpstr>Starting Revenue &amp; Expenses</vt:lpstr>
      <vt:lpstr>Predicted Revenue &amp; Expenses</vt:lpstr>
      <vt:lpstr>CHANGE LOG</vt:lpstr>
      <vt:lpstr>'No Alternate'!Print_Area</vt:lpstr>
      <vt:lpstr>'Actuals as of April 2015'!Print_Titles</vt:lpstr>
      <vt:lpstr>'No Alternate'!Print_Titles</vt:lpstr>
      <vt:lpstr>'Predicted Revenue &amp; Expenses'!Print_Titles</vt:lpstr>
    </vt:vector>
  </TitlesOfParts>
  <Company>CH2M HILL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CH2M HILL</dc:creator>
  <cp:lastModifiedBy>Allen Johnson</cp:lastModifiedBy>
  <cp:lastPrinted>2016-08-18T14:44:03Z</cp:lastPrinted>
  <dcterms:created xsi:type="dcterms:W3CDTF">2008-06-09T01:34:57Z</dcterms:created>
  <dcterms:modified xsi:type="dcterms:W3CDTF">2016-08-26T15:39:56Z</dcterms:modified>
</cp:coreProperties>
</file>